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Plan de Adquisiciones 2021 - ICFE\Milena - Plan de Adquisiciones 2021  - ICFE\"/>
    </mc:Choice>
  </mc:AlternateContent>
  <bookViews>
    <workbookView xWindow="0" yWindow="0" windowWidth="28800" windowHeight="11730" firstSheet="1" activeTab="1"/>
  </bookViews>
  <sheets>
    <sheet name="Proy Plan Adqu ICFE 2020 Ang" sheetId="5" state="hidden" r:id="rId1"/>
    <sheet name="Plan Adqu ICFE 2021 Total" sheetId="8" r:id="rId2"/>
    <sheet name="Hoja2" sheetId="20" r:id="rId3"/>
    <sheet name="Hoja1" sheetId="21" r:id="rId4"/>
  </sheets>
  <externalReferences>
    <externalReference r:id="rId5"/>
  </externalReferences>
  <definedNames>
    <definedName name="_xlnm._FilterDatabase" localSheetId="1" hidden="1">'Plan Adqu ICFE 2021 Total'!$B$6:$AR$322</definedName>
    <definedName name="_xlnm._FilterDatabase" localSheetId="0" hidden="1">'Proy Plan Adqu ICFE 2020 Ang'!$B$6:$AH$354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P230" i="8" l="1"/>
  <c r="AP299" i="8"/>
  <c r="AP291" i="8"/>
  <c r="AO291" i="8"/>
  <c r="AO299" i="8"/>
  <c r="AN291" i="8"/>
  <c r="AI289" i="8"/>
  <c r="AO261" i="8" l="1"/>
  <c r="AP261" i="8"/>
  <c r="AQ38" i="8" l="1"/>
  <c r="R294" i="8" l="1"/>
  <c r="R293" i="8"/>
  <c r="R304" i="8"/>
  <c r="R306" i="8"/>
  <c r="R305" i="8" s="1"/>
  <c r="R237" i="8" l="1"/>
  <c r="R238" i="8"/>
  <c r="AP257" i="8" l="1"/>
  <c r="AO257" i="8"/>
  <c r="AN257" i="8"/>
  <c r="AP235" i="8"/>
  <c r="AO236" i="8"/>
  <c r="AO235" i="8"/>
  <c r="AN236" i="8"/>
  <c r="AN235" i="8"/>
  <c r="AP225" i="8"/>
  <c r="AO226" i="8"/>
  <c r="AO225" i="8"/>
  <c r="AN226" i="8"/>
  <c r="AN225" i="8"/>
  <c r="AP221" i="8"/>
  <c r="AO221" i="8"/>
  <c r="AO220" i="8"/>
  <c r="AP220" i="8" s="1"/>
  <c r="AN220" i="8"/>
  <c r="AN221" i="8"/>
  <c r="AO188" i="8"/>
  <c r="AP181" i="8"/>
  <c r="AN181" i="8"/>
  <c r="AN182" i="8"/>
  <c r="AP173" i="8"/>
  <c r="AO173" i="8"/>
  <c r="AN173" i="8"/>
  <c r="AP170" i="8"/>
  <c r="AO170" i="8"/>
  <c r="AN170" i="8"/>
  <c r="AO165" i="8"/>
  <c r="AN165" i="8"/>
  <c r="AO224" i="8"/>
  <c r="AN223" i="8"/>
  <c r="AO223" i="8"/>
  <c r="AP223" i="8" s="1"/>
  <c r="AO158" i="8"/>
  <c r="AP158" i="8" s="1"/>
  <c r="AN158" i="8"/>
  <c r="AN139" i="8"/>
  <c r="AO139" i="8"/>
  <c r="AP139" i="8" s="1"/>
  <c r="AO133" i="8"/>
  <c r="AP133" i="8" s="1"/>
  <c r="AN133" i="8"/>
  <c r="AP134" i="8"/>
  <c r="AO134" i="8"/>
  <c r="AN134" i="8"/>
  <c r="AN132" i="8"/>
  <c r="AO130" i="8"/>
  <c r="AP130" i="8" s="1"/>
  <c r="AN130" i="8"/>
  <c r="R123" i="8"/>
  <c r="AP129" i="8"/>
  <c r="AP127" i="8"/>
  <c r="AP121" i="8"/>
  <c r="AN117" i="8"/>
  <c r="AO117" i="8"/>
  <c r="AP117" i="8" s="1"/>
  <c r="AP102" i="8"/>
  <c r="AO86" i="8"/>
  <c r="AN82" i="8"/>
  <c r="AN89" i="8"/>
  <c r="AO89" i="8"/>
  <c r="AP89" i="8" s="1"/>
  <c r="AP82" i="8"/>
  <c r="AP81" i="8"/>
  <c r="AN66" i="8"/>
  <c r="AO50" i="8"/>
  <c r="AO45" i="8"/>
  <c r="AO96" i="8"/>
  <c r="AP96" i="8" s="1"/>
  <c r="AN96" i="8"/>
  <c r="AO71" i="8"/>
  <c r="AP71" i="8" s="1"/>
  <c r="AN71" i="8"/>
  <c r="R185" i="8" l="1"/>
  <c r="AH185" i="8" l="1"/>
  <c r="R224" i="8" l="1"/>
  <c r="R220" i="8"/>
  <c r="R122" i="8" l="1"/>
  <c r="R121" i="8"/>
  <c r="R127" i="8" l="1"/>
  <c r="R131" i="8"/>
  <c r="AW128" i="8" l="1"/>
  <c r="AX123" i="8"/>
  <c r="R290" i="8"/>
  <c r="R291" i="8"/>
  <c r="R190" i="8" l="1"/>
  <c r="R136" i="8"/>
  <c r="R227" i="8" l="1"/>
  <c r="R230" i="8" l="1"/>
  <c r="R222" i="8"/>
  <c r="R219" i="8" l="1"/>
  <c r="F25" i="21" l="1"/>
  <c r="R210" i="8" l="1"/>
  <c r="R212" i="8"/>
  <c r="R201" i="8"/>
  <c r="AM316" i="8" l="1"/>
  <c r="AL316" i="8"/>
  <c r="AK316" i="8"/>
  <c r="AL312" i="8"/>
  <c r="AO283" i="8"/>
  <c r="AP283" i="8" s="1"/>
  <c r="AN283" i="8"/>
  <c r="AO229" i="8" l="1"/>
  <c r="AP229" i="8" s="1"/>
  <c r="AN229" i="8"/>
  <c r="AO210" i="8"/>
  <c r="AP210" i="8" s="1"/>
  <c r="AN210" i="8"/>
  <c r="AO177" i="8"/>
  <c r="AP177" i="8" s="1"/>
  <c r="AN177" i="8"/>
  <c r="AO168" i="8"/>
  <c r="AP168" i="8" s="1"/>
  <c r="AN168" i="8"/>
  <c r="AO137" i="8"/>
  <c r="AP137" i="8" s="1"/>
  <c r="AN137" i="8"/>
  <c r="AO131" i="8"/>
  <c r="AP131" i="8" s="1"/>
  <c r="AN131" i="8"/>
  <c r="AO129" i="8"/>
  <c r="AN129" i="8"/>
  <c r="AM82" i="8"/>
  <c r="AO82" i="8" s="1"/>
  <c r="AO69" i="8" l="1"/>
  <c r="AP69" i="8" s="1"/>
  <c r="AN69" i="8"/>
  <c r="AK53" i="8"/>
  <c r="AO46" i="8"/>
  <c r="AP46" i="8" s="1"/>
  <c r="AN46" i="8"/>
  <c r="AO43" i="8"/>
  <c r="AP43" i="8" s="1"/>
  <c r="AN43" i="8"/>
  <c r="AO19" i="8"/>
  <c r="AP19" i="8" s="1"/>
  <c r="AN19" i="8"/>
  <c r="AO13" i="8"/>
  <c r="AP13" i="8" s="1"/>
  <c r="R12" i="8"/>
  <c r="R11" i="8" s="1"/>
  <c r="R45" i="8" l="1"/>
  <c r="W225" i="8"/>
  <c r="AH304" i="8"/>
  <c r="AH291" i="8"/>
  <c r="AH292" i="8"/>
  <c r="AH293" i="8"/>
  <c r="AH294" i="8"/>
  <c r="AH295" i="8"/>
  <c r="AH296" i="8"/>
  <c r="AH297" i="8"/>
  <c r="AH298" i="8"/>
  <c r="R299" i="8"/>
  <c r="AN299" i="8" s="1"/>
  <c r="AH299" i="8"/>
  <c r="AN300" i="8"/>
  <c r="AO300" i="8"/>
  <c r="AP300" i="8" s="1"/>
  <c r="AH301" i="8"/>
  <c r="AN301" i="8"/>
  <c r="AO301" i="8"/>
  <c r="AP301" i="8" s="1"/>
  <c r="AH302" i="8"/>
  <c r="AN302" i="8"/>
  <c r="AO302" i="8"/>
  <c r="AP302" i="8" s="1"/>
  <c r="AH303" i="8"/>
  <c r="J12" i="20" l="1"/>
  <c r="E3" i="20"/>
  <c r="R233" i="8" l="1"/>
  <c r="R188" i="8"/>
  <c r="R181" i="8"/>
  <c r="R182" i="8"/>
  <c r="J6" i="20"/>
  <c r="R13" i="8"/>
  <c r="I6" i="20"/>
  <c r="R28" i="8"/>
  <c r="R22" i="8"/>
  <c r="AH210" i="8"/>
  <c r="AG209" i="8"/>
  <c r="AF209" i="8"/>
  <c r="AE209" i="8"/>
  <c r="AD209" i="8"/>
  <c r="AC209" i="8"/>
  <c r="AB209" i="8"/>
  <c r="AA209" i="8"/>
  <c r="Z209" i="8"/>
  <c r="Y209" i="8"/>
  <c r="X209" i="8"/>
  <c r="W209" i="8"/>
  <c r="V209" i="8"/>
  <c r="R209" i="8"/>
  <c r="AH19" i="8"/>
  <c r="AG18" i="8"/>
  <c r="AG17" i="8" s="1"/>
  <c r="AF18" i="8"/>
  <c r="AE18" i="8"/>
  <c r="AE17" i="8" s="1"/>
  <c r="AD18" i="8"/>
  <c r="AD17" i="8" s="1"/>
  <c r="AC18" i="8"/>
  <c r="AC17" i="8" s="1"/>
  <c r="AB18" i="8"/>
  <c r="AB17" i="8" s="1"/>
  <c r="AA18" i="8"/>
  <c r="AA17" i="8" s="1"/>
  <c r="Z18" i="8"/>
  <c r="Z17" i="8" s="1"/>
  <c r="Y18" i="8"/>
  <c r="Y17" i="8" s="1"/>
  <c r="X18" i="8"/>
  <c r="X17" i="8" s="1"/>
  <c r="W18" i="8"/>
  <c r="W17" i="8" s="1"/>
  <c r="V18" i="8"/>
  <c r="R18" i="8"/>
  <c r="R17" i="8" s="1"/>
  <c r="AF17" i="8"/>
  <c r="V17" i="8"/>
  <c r="Q17" i="8"/>
  <c r="J4" i="20"/>
  <c r="D14" i="20"/>
  <c r="N15" i="20"/>
  <c r="AH209" i="8" l="1"/>
  <c r="AH18" i="8"/>
  <c r="AH17" i="8"/>
  <c r="D23" i="20" l="1"/>
  <c r="C23" i="20"/>
  <c r="D17" i="20"/>
  <c r="E11" i="20" s="1"/>
  <c r="E5" i="20"/>
  <c r="E23" i="20" l="1"/>
  <c r="AO147" i="8" l="1"/>
  <c r="AP147" i="8" s="1"/>
  <c r="AN147" i="8"/>
  <c r="AL127" i="8"/>
  <c r="R134" i="8" l="1"/>
  <c r="R135" i="8"/>
  <c r="R133" i="8"/>
  <c r="R255" i="8"/>
  <c r="AO256" i="8"/>
  <c r="AH256" i="8"/>
  <c r="R256" i="8"/>
  <c r="AN256" i="8" s="1"/>
  <c r="AP256" i="8" l="1"/>
  <c r="R141" i="8" l="1"/>
  <c r="AN312" i="8" l="1"/>
  <c r="AP285" i="8"/>
  <c r="AP280" i="8"/>
  <c r="AP226" i="8"/>
  <c r="AP165" i="8"/>
  <c r="AP188" i="8"/>
  <c r="AM154" i="8" l="1"/>
  <c r="AL154" i="8"/>
  <c r="AK154" i="8"/>
  <c r="AK153" i="8"/>
  <c r="AM153" i="8"/>
  <c r="AL153" i="8"/>
  <c r="R132" i="8" l="1"/>
  <c r="AO276" i="8" l="1"/>
  <c r="AP276" i="8" s="1"/>
  <c r="AN276" i="8"/>
  <c r="AO320" i="8"/>
  <c r="AN317" i="8"/>
  <c r="AN101" i="8"/>
  <c r="AH131" i="8" l="1"/>
  <c r="R137" i="8" l="1"/>
  <c r="AN178" i="8" l="1"/>
  <c r="R311" i="8" l="1"/>
  <c r="R310" i="8"/>
  <c r="R162" i="8" l="1"/>
  <c r="R143" i="8" l="1"/>
  <c r="R225" i="8" l="1"/>
  <c r="AH222" i="8" l="1"/>
  <c r="AO318" i="8" l="1"/>
  <c r="AP318" i="8" s="1"/>
  <c r="AN318" i="8"/>
  <c r="AP320" i="8" l="1"/>
  <c r="AN320" i="8"/>
  <c r="AO317" i="8"/>
  <c r="AP317" i="8" s="1"/>
  <c r="AO316" i="8"/>
  <c r="AP316" i="8" s="1"/>
  <c r="AN316" i="8"/>
  <c r="AO315" i="8"/>
  <c r="AP315" i="8" s="1"/>
  <c r="AN315" i="8"/>
  <c r="AO314" i="8"/>
  <c r="AP314" i="8" s="1"/>
  <c r="AN314" i="8"/>
  <c r="AO313" i="8"/>
  <c r="AP313" i="8" s="1"/>
  <c r="AN313" i="8"/>
  <c r="AO312" i="8"/>
  <c r="AP312" i="8" s="1"/>
  <c r="AO311" i="8"/>
  <c r="AP311" i="8" s="1"/>
  <c r="AN311" i="8"/>
  <c r="AO310" i="8"/>
  <c r="AP310" i="8" s="1"/>
  <c r="AN310" i="8"/>
  <c r="AO309" i="8"/>
  <c r="AP309" i="8" s="1"/>
  <c r="AN309" i="8"/>
  <c r="AO308" i="8"/>
  <c r="AP308" i="8" s="1"/>
  <c r="AN308" i="8"/>
  <c r="AO307" i="8"/>
  <c r="AP307" i="8" s="1"/>
  <c r="AN307" i="8"/>
  <c r="AO278" i="8" l="1"/>
  <c r="AP278" i="8" s="1"/>
  <c r="AN278" i="8"/>
  <c r="AO271" i="8"/>
  <c r="AP271" i="8" s="1"/>
  <c r="AN271" i="8"/>
  <c r="AO269" i="8"/>
  <c r="AP269" i="8" s="1"/>
  <c r="AN269" i="8"/>
  <c r="AO259" i="8"/>
  <c r="AO266" i="8"/>
  <c r="AP266" i="8" s="1"/>
  <c r="AN266" i="8"/>
  <c r="AO265" i="8"/>
  <c r="AO260" i="8"/>
  <c r="AP260" i="8" s="1"/>
  <c r="AN260" i="8"/>
  <c r="AO248" i="8"/>
  <c r="AP248" i="8" s="1"/>
  <c r="AN248" i="8"/>
  <c r="AO244" i="8"/>
  <c r="AP244" i="8" s="1"/>
  <c r="AN244" i="8"/>
  <c r="AO233" i="8"/>
  <c r="AP233" i="8" s="1"/>
  <c r="AN233" i="8"/>
  <c r="AO239" i="8"/>
  <c r="AP239" i="8" s="1"/>
  <c r="AN239" i="8"/>
  <c r="AO238" i="8"/>
  <c r="AP238" i="8" s="1"/>
  <c r="AN238" i="8"/>
  <c r="AO237" i="8"/>
  <c r="AP237" i="8" s="1"/>
  <c r="AN237" i="8"/>
  <c r="AN232" i="8"/>
  <c r="AO228" i="8"/>
  <c r="AP228" i="8" s="1"/>
  <c r="AN228" i="8"/>
  <c r="AO215" i="8"/>
  <c r="AN212" i="8"/>
  <c r="AO212" i="8"/>
  <c r="AP212" i="8" s="1"/>
  <c r="AN204" i="8"/>
  <c r="AN201" i="8"/>
  <c r="AO201" i="8"/>
  <c r="AP201" i="8" s="1"/>
  <c r="AO197" i="8"/>
  <c r="AP197" i="8" s="1"/>
  <c r="AN197" i="8"/>
  <c r="AO190" i="8"/>
  <c r="AP190" i="8" s="1"/>
  <c r="AN190" i="8"/>
  <c r="AO181" i="8"/>
  <c r="AO182" i="8"/>
  <c r="AO172" i="8"/>
  <c r="AP172" i="8" s="1"/>
  <c r="AN172" i="8"/>
  <c r="AO164" i="8"/>
  <c r="AN157" i="8"/>
  <c r="AO146" i="8"/>
  <c r="AL141" i="8"/>
  <c r="AO94" i="8"/>
  <c r="AP94" i="8" s="1"/>
  <c r="AO16" i="8"/>
  <c r="AP16" i="8" s="1"/>
  <c r="AN16" i="8"/>
  <c r="AO232" i="8"/>
  <c r="AP232" i="8" s="1"/>
  <c r="AO227" i="8"/>
  <c r="AO204" i="8"/>
  <c r="AP204" i="8" s="1"/>
  <c r="AO185" i="8"/>
  <c r="AP185" i="8" s="1"/>
  <c r="AO178" i="8"/>
  <c r="AP178" i="8" s="1"/>
  <c r="AO171" i="8"/>
  <c r="AP171" i="8" s="1"/>
  <c r="AN171" i="8"/>
  <c r="AO169" i="8"/>
  <c r="AP169" i="8" s="1"/>
  <c r="AN169" i="8"/>
  <c r="AO166" i="8"/>
  <c r="AP166" i="8" s="1"/>
  <c r="AN166" i="8"/>
  <c r="AO162" i="8"/>
  <c r="AO154" i="8"/>
  <c r="AP154" i="8" s="1"/>
  <c r="AN154" i="8"/>
  <c r="AO153" i="8"/>
  <c r="AO148" i="8"/>
  <c r="AO145" i="8"/>
  <c r="AO144" i="8"/>
  <c r="AO143" i="8"/>
  <c r="AO136" i="8"/>
  <c r="AO135" i="8"/>
  <c r="AP135" i="8" s="1"/>
  <c r="AO132" i="8"/>
  <c r="AP132" i="8" s="1"/>
  <c r="AO128" i="8"/>
  <c r="AO127" i="8"/>
  <c r="AO122" i="8"/>
  <c r="AP122" i="8" s="1"/>
  <c r="AO121" i="8"/>
  <c r="AO115" i="8"/>
  <c r="AP115" i="8" s="1"/>
  <c r="AN115" i="8"/>
  <c r="AO108" i="8"/>
  <c r="AO104" i="8"/>
  <c r="AP104" i="8" s="1"/>
  <c r="AN104" i="8"/>
  <c r="AN102" i="8"/>
  <c r="AO102" i="8"/>
  <c r="AO101" i="8"/>
  <c r="AP101" i="8" s="1"/>
  <c r="AO100" i="8"/>
  <c r="AN94" i="8"/>
  <c r="AO91" i="8"/>
  <c r="AP91" i="8" s="1"/>
  <c r="AN91" i="8"/>
  <c r="AO90" i="8"/>
  <c r="AP90" i="8" s="1"/>
  <c r="AN90" i="8"/>
  <c r="AP86" i="8"/>
  <c r="AN86" i="8"/>
  <c r="AL81" i="8"/>
  <c r="AO77" i="8"/>
  <c r="AP77" i="8" s="1"/>
  <c r="AN77" i="8"/>
  <c r="AO74" i="8"/>
  <c r="AO73" i="8"/>
  <c r="AP73" i="8" s="1"/>
  <c r="AN73" i="8"/>
  <c r="AO66" i="8"/>
  <c r="AP66" i="8" s="1"/>
  <c r="AO64" i="8"/>
  <c r="AP64" i="8" s="1"/>
  <c r="AN64" i="8"/>
  <c r="AO61" i="8"/>
  <c r="AP61" i="8" s="1"/>
  <c r="AN61" i="8"/>
  <c r="AO58" i="8"/>
  <c r="AP58" i="8" s="1"/>
  <c r="AN58" i="8"/>
  <c r="AO56" i="8"/>
  <c r="AP56" i="8" s="1"/>
  <c r="AN56" i="8"/>
  <c r="AO53" i="8"/>
  <c r="AP53" i="8" s="1"/>
  <c r="AN53" i="8"/>
  <c r="AP45" i="8"/>
  <c r="AN45" i="8"/>
  <c r="AO42" i="8"/>
  <c r="AP42" i="8" s="1"/>
  <c r="AN42" i="8"/>
  <c r="AJ42" i="8"/>
  <c r="AO38" i="8"/>
  <c r="AP38" i="8" s="1"/>
  <c r="AN38" i="8"/>
  <c r="AO34" i="8"/>
  <c r="AP34" i="8" s="1"/>
  <c r="AN34" i="8"/>
  <c r="AO28" i="8"/>
  <c r="AP28" i="8" s="1"/>
  <c r="AN81" i="8" l="1"/>
  <c r="AO22" i="8"/>
  <c r="AP22" i="8" s="1"/>
  <c r="AO81" i="8"/>
  <c r="AO141" i="8"/>
  <c r="AP141" i="8" s="1"/>
  <c r="AO51" i="8"/>
  <c r="AP51" i="8" s="1"/>
  <c r="AO157" i="8"/>
  <c r="AP157" i="8" s="1"/>
  <c r="AO123" i="8"/>
  <c r="AP123" i="8" s="1"/>
  <c r="AN22" i="8"/>
  <c r="AN28" i="8"/>
  <c r="AN51" i="8"/>
  <c r="AN123" i="8"/>
  <c r="R148" i="8" l="1"/>
  <c r="R145" i="8"/>
  <c r="R146" i="8"/>
  <c r="R130" i="8"/>
  <c r="R128" i="8"/>
  <c r="AN143" i="8" l="1"/>
  <c r="AP143" i="8"/>
  <c r="AN146" i="8"/>
  <c r="AP146" i="8"/>
  <c r="AN121" i="8"/>
  <c r="AP145" i="8"/>
  <c r="AN145" i="8"/>
  <c r="AN128" i="8"/>
  <c r="AP128" i="8"/>
  <c r="AP148" i="8"/>
  <c r="AN148" i="8"/>
  <c r="AN127" i="8"/>
  <c r="AN141" i="8"/>
  <c r="R289" i="8"/>
  <c r="AH212" i="8" l="1"/>
  <c r="AG211" i="8"/>
  <c r="AG208" i="8" s="1"/>
  <c r="AF211" i="8"/>
  <c r="AF208" i="8" s="1"/>
  <c r="AE211" i="8"/>
  <c r="AE208" i="8" s="1"/>
  <c r="AD211" i="8"/>
  <c r="AD208" i="8" s="1"/>
  <c r="AC211" i="8"/>
  <c r="AC208" i="8" s="1"/>
  <c r="AB211" i="8"/>
  <c r="AB208" i="8" s="1"/>
  <c r="AA211" i="8"/>
  <c r="AA208" i="8" s="1"/>
  <c r="Z211" i="8"/>
  <c r="Z208" i="8" s="1"/>
  <c r="Y211" i="8"/>
  <c r="Y208" i="8" s="1"/>
  <c r="X211" i="8"/>
  <c r="X208" i="8" s="1"/>
  <c r="W211" i="8"/>
  <c r="W208" i="8" s="1"/>
  <c r="V211" i="8"/>
  <c r="V208" i="8" s="1"/>
  <c r="R211" i="8"/>
  <c r="R208" i="8" s="1"/>
  <c r="Q208" i="8"/>
  <c r="AH211" i="8" l="1"/>
  <c r="AH208" i="8"/>
  <c r="AN135" i="8" l="1"/>
  <c r="R261" i="8"/>
  <c r="R265" i="8"/>
  <c r="AN265" i="8" l="1"/>
  <c r="AP265" i="8"/>
  <c r="AN261" i="8"/>
  <c r="R108" i="8"/>
  <c r="AP136" i="8"/>
  <c r="AN108" i="8" l="1"/>
  <c r="AP108" i="8"/>
  <c r="AN136" i="8"/>
  <c r="AN224" i="8"/>
  <c r="R164" i="8"/>
  <c r="AP224" i="8" l="1"/>
  <c r="AP227" i="8"/>
  <c r="AN227" i="8"/>
  <c r="R163" i="8"/>
  <c r="AN164" i="8"/>
  <c r="AP164" i="8"/>
  <c r="R153" i="8"/>
  <c r="R126" i="8"/>
  <c r="R100" i="8"/>
  <c r="AP100" i="8" s="1"/>
  <c r="R69" i="8"/>
  <c r="R50" i="8"/>
  <c r="R150" i="8"/>
  <c r="AP150" i="8" s="1"/>
  <c r="R144" i="8"/>
  <c r="AN153" i="8" l="1"/>
  <c r="AP153" i="8"/>
  <c r="AN100" i="8"/>
  <c r="AN144" i="8"/>
  <c r="AP144" i="8"/>
  <c r="AP162" i="8"/>
  <c r="AN162" i="8"/>
  <c r="AN122" i="8"/>
  <c r="AP50" i="8"/>
  <c r="AN50" i="8"/>
  <c r="AP182" i="8"/>
  <c r="R259" i="8"/>
  <c r="R253" i="8"/>
  <c r="R258" i="8" l="1"/>
  <c r="AN259" i="8"/>
  <c r="AP259" i="8"/>
  <c r="R236" i="8"/>
  <c r="AP236" i="8" s="1"/>
  <c r="R235" i="8"/>
  <c r="Q258" i="8" l="1"/>
  <c r="W219" i="8"/>
  <c r="X219" i="8"/>
  <c r="Y219" i="8"/>
  <c r="Z219" i="8"/>
  <c r="AA219" i="8"/>
  <c r="AB219" i="8"/>
  <c r="AC219" i="8"/>
  <c r="AD219" i="8"/>
  <c r="AE219" i="8"/>
  <c r="AF219" i="8"/>
  <c r="AG219" i="8"/>
  <c r="V219" i="8"/>
  <c r="W247" i="8"/>
  <c r="X247" i="8"/>
  <c r="Y247" i="8"/>
  <c r="Z247" i="8"/>
  <c r="AA247" i="8"/>
  <c r="AB247" i="8"/>
  <c r="AC247" i="8"/>
  <c r="AD247" i="8"/>
  <c r="AE247" i="8"/>
  <c r="AF247" i="8"/>
  <c r="AG247" i="8"/>
  <c r="V247" i="8"/>
  <c r="AH219" i="8" l="1"/>
  <c r="Q214" i="8" l="1"/>
  <c r="Q107" i="8"/>
  <c r="Y108" i="8"/>
  <c r="X108" i="8"/>
  <c r="Q140" i="8"/>
  <c r="Q125" i="8" s="1"/>
  <c r="AH66" i="8" l="1"/>
  <c r="Q88" i="8" l="1"/>
  <c r="AH166" i="8"/>
  <c r="W95" i="8"/>
  <c r="X95" i="8"/>
  <c r="Y95" i="8"/>
  <c r="Z95" i="8"/>
  <c r="AA95" i="8"/>
  <c r="AB95" i="8"/>
  <c r="AC95" i="8"/>
  <c r="AD95" i="8"/>
  <c r="AE95" i="8"/>
  <c r="AF95" i="8"/>
  <c r="AG95" i="8"/>
  <c r="V95" i="8"/>
  <c r="Q67" i="8"/>
  <c r="V163" i="8"/>
  <c r="W163" i="8"/>
  <c r="X163" i="8"/>
  <c r="Y163" i="8"/>
  <c r="Z163" i="8"/>
  <c r="AA163" i="8"/>
  <c r="AB163" i="8"/>
  <c r="AC163" i="8"/>
  <c r="AD163" i="8"/>
  <c r="AE163" i="8"/>
  <c r="AF163" i="8"/>
  <c r="AG163" i="8"/>
  <c r="V57" i="8"/>
  <c r="W57" i="8"/>
  <c r="X57" i="8"/>
  <c r="Y57" i="8"/>
  <c r="Z57" i="8"/>
  <c r="AA57" i="8"/>
  <c r="AB57" i="8"/>
  <c r="AC57" i="8"/>
  <c r="AD57" i="8"/>
  <c r="AE57" i="8"/>
  <c r="AF57" i="8"/>
  <c r="AG57" i="8"/>
  <c r="AH163" i="8" l="1"/>
  <c r="AG34" i="8" l="1"/>
  <c r="AN13" i="8" l="1"/>
  <c r="AH130" i="8"/>
  <c r="R215" i="8" l="1"/>
  <c r="AN215" i="8" l="1"/>
  <c r="AP215" i="8"/>
  <c r="AH13" i="8"/>
  <c r="AH16" i="8"/>
  <c r="AH22" i="8"/>
  <c r="AH28" i="8"/>
  <c r="AH34" i="8"/>
  <c r="AH38" i="8"/>
  <c r="AH40" i="8"/>
  <c r="AH42" i="8"/>
  <c r="AH43" i="8"/>
  <c r="AH45" i="8"/>
  <c r="AH46" i="8"/>
  <c r="AH50" i="8"/>
  <c r="AH51" i="8"/>
  <c r="AH53" i="8"/>
  <c r="AH56" i="8"/>
  <c r="AH58" i="8"/>
  <c r="AH61" i="8"/>
  <c r="AH64" i="8"/>
  <c r="AH69" i="8"/>
  <c r="AH71" i="8"/>
  <c r="AH73" i="8"/>
  <c r="AH74" i="8"/>
  <c r="AH77" i="8"/>
  <c r="AH81" i="8"/>
  <c r="AH82" i="8"/>
  <c r="AH83" i="8"/>
  <c r="AH86" i="8"/>
  <c r="AH89" i="8"/>
  <c r="AH90" i="8"/>
  <c r="AH91" i="8"/>
  <c r="AH94" i="8"/>
  <c r="AH95" i="8"/>
  <c r="AH96" i="8"/>
  <c r="AH100" i="8"/>
  <c r="AH101" i="8"/>
  <c r="AH102" i="8"/>
  <c r="AH104" i="8"/>
  <c r="AH105" i="8"/>
  <c r="AH108" i="8"/>
  <c r="AH109" i="8"/>
  <c r="AH115" i="8"/>
  <c r="AH117" i="8"/>
  <c r="AH121" i="8"/>
  <c r="AH122" i="8"/>
  <c r="AH123" i="8"/>
  <c r="AH127" i="8"/>
  <c r="AH128" i="8"/>
  <c r="AH129" i="8"/>
  <c r="AH132" i="8"/>
  <c r="AH133" i="8"/>
  <c r="AH134" i="8"/>
  <c r="AH135" i="8"/>
  <c r="AH136" i="8"/>
  <c r="AH137" i="8"/>
  <c r="AH139" i="8"/>
  <c r="AH142" i="8"/>
  <c r="AH143" i="8"/>
  <c r="AH144" i="8"/>
  <c r="AH145" i="8"/>
  <c r="AH146" i="8"/>
  <c r="AH147" i="8"/>
  <c r="AH148" i="8"/>
  <c r="AH150" i="8"/>
  <c r="AH153" i="8"/>
  <c r="AH154" i="8"/>
  <c r="AH155" i="8"/>
  <c r="AH158" i="8"/>
  <c r="AH162" i="8"/>
  <c r="AH164" i="8"/>
  <c r="AH165" i="8"/>
  <c r="AH168" i="8"/>
  <c r="AH169" i="8"/>
  <c r="AH171" i="8"/>
  <c r="AH172" i="8"/>
  <c r="AH173" i="8"/>
  <c r="AH177" i="8"/>
  <c r="AH178" i="8"/>
  <c r="AH181" i="8"/>
  <c r="AH182" i="8"/>
  <c r="AH188" i="8"/>
  <c r="AH197" i="8"/>
  <c r="AH201" i="8"/>
  <c r="AH204" i="8"/>
  <c r="AH207" i="8"/>
  <c r="AH215" i="8"/>
  <c r="AH220" i="8"/>
  <c r="AH221" i="8"/>
  <c r="AH223" i="8"/>
  <c r="AH224" i="8"/>
  <c r="AH225" i="8"/>
  <c r="AH227" i="8"/>
  <c r="AH228" i="8"/>
  <c r="AH230" i="8"/>
  <c r="AH232" i="8"/>
  <c r="AH233" i="8"/>
  <c r="AH235" i="8"/>
  <c r="AH236" i="8"/>
  <c r="AH237" i="8"/>
  <c r="AH238" i="8"/>
  <c r="AH239" i="8"/>
  <c r="AH244" i="8"/>
  <c r="AH247" i="8"/>
  <c r="AH248" i="8"/>
  <c r="AH253" i="8"/>
  <c r="AH259" i="8"/>
  <c r="AH260" i="8"/>
  <c r="AH261" i="8"/>
  <c r="AH265" i="8"/>
  <c r="AH266" i="8"/>
  <c r="AH269" i="8"/>
  <c r="AH271" i="8"/>
  <c r="AH276" i="8"/>
  <c r="AH278" i="8"/>
  <c r="AH280" i="8"/>
  <c r="AH283" i="8"/>
  <c r="AH285" i="8"/>
  <c r="AH307" i="8"/>
  <c r="AH308" i="8"/>
  <c r="AH309" i="8"/>
  <c r="AH310" i="8"/>
  <c r="AH311" i="8"/>
  <c r="AH312" i="8"/>
  <c r="AH314" i="8"/>
  <c r="AH315" i="8"/>
  <c r="AH316" i="8"/>
  <c r="AH317" i="8"/>
  <c r="AH318" i="8"/>
  <c r="AH319" i="8"/>
  <c r="AH320" i="8"/>
  <c r="AG306" i="8"/>
  <c r="AG305" i="8" s="1"/>
  <c r="AG290" i="8"/>
  <c r="AG289" i="8" s="1"/>
  <c r="AG284" i="8"/>
  <c r="AG282" i="8"/>
  <c r="AG279" i="8"/>
  <c r="AG277" i="8"/>
  <c r="AG275" i="8"/>
  <c r="AG270" i="8"/>
  <c r="AG268" i="8"/>
  <c r="AG264" i="8"/>
  <c r="AG263" i="8" s="1"/>
  <c r="AG262" i="8" s="1"/>
  <c r="AG258" i="8"/>
  <c r="AG255" i="8"/>
  <c r="AG252" i="8"/>
  <c r="AG251" i="8" s="1"/>
  <c r="AG250" i="8" s="1"/>
  <c r="AG246" i="8"/>
  <c r="AG245" i="8" s="1"/>
  <c r="AG243" i="8"/>
  <c r="AG242" i="8" s="1"/>
  <c r="AG241" i="8" s="1"/>
  <c r="AG234" i="8"/>
  <c r="AG231" i="8"/>
  <c r="AG214" i="8"/>
  <c r="AG213" i="8" s="1"/>
  <c r="AG206" i="8"/>
  <c r="AG205" i="8" s="1"/>
  <c r="AG203" i="8"/>
  <c r="AG202" i="8" s="1"/>
  <c r="AG200" i="8"/>
  <c r="AG199" i="8" s="1"/>
  <c r="AG196" i="8"/>
  <c r="AG195" i="8" s="1"/>
  <c r="AG194" i="8" s="1"/>
  <c r="AG189" i="8"/>
  <c r="AG187" i="8"/>
  <c r="AG186" i="8" s="1"/>
  <c r="AG184" i="8"/>
  <c r="AG183" i="8" s="1"/>
  <c r="AG180" i="8"/>
  <c r="AG179" i="8" s="1"/>
  <c r="AG176" i="8"/>
  <c r="AG175" i="8" s="1"/>
  <c r="AG167" i="8"/>
  <c r="AG161" i="8"/>
  <c r="AG156" i="8"/>
  <c r="AG152" i="8"/>
  <c r="AG149" i="8"/>
  <c r="AG140" i="8"/>
  <c r="AG138" i="8"/>
  <c r="AG126" i="8"/>
  <c r="AG120" i="8"/>
  <c r="AG119" i="8" s="1"/>
  <c r="AG116" i="8"/>
  <c r="AG114" i="8"/>
  <c r="AG107" i="8"/>
  <c r="AG106" i="8" s="1"/>
  <c r="AG103" i="8"/>
  <c r="AG99" i="8"/>
  <c r="AG93" i="8"/>
  <c r="AG92" i="8" s="1"/>
  <c r="AG88" i="8"/>
  <c r="AG87" i="8" s="1"/>
  <c r="AG85" i="8"/>
  <c r="AG84" i="8" s="1"/>
  <c r="AG80" i="8"/>
  <c r="AG79" i="8" s="1"/>
  <c r="AG76" i="8"/>
  <c r="AG75" i="8" s="1"/>
  <c r="AG72" i="8"/>
  <c r="AG70" i="8"/>
  <c r="AG68" i="8"/>
  <c r="AG65" i="8"/>
  <c r="AG63" i="8"/>
  <c r="AG60" i="8"/>
  <c r="AG59" i="8" s="1"/>
  <c r="AG55" i="8"/>
  <c r="AG52" i="8"/>
  <c r="AG49" i="8"/>
  <c r="AG44" i="8"/>
  <c r="AG41" i="8"/>
  <c r="AG39" i="8"/>
  <c r="AG37" i="8"/>
  <c r="AG33" i="8"/>
  <c r="AG32" i="8" s="1"/>
  <c r="AG31" i="8" s="1"/>
  <c r="AG27" i="8"/>
  <c r="AG26" i="8" s="1"/>
  <c r="AG25" i="8" s="1"/>
  <c r="AG24" i="8" s="1"/>
  <c r="AG23" i="8" s="1"/>
  <c r="AG21" i="8"/>
  <c r="AG20" i="8" s="1"/>
  <c r="AG15" i="8"/>
  <c r="AG14" i="8" s="1"/>
  <c r="AG12" i="8"/>
  <c r="AG11" i="8" s="1"/>
  <c r="AG125" i="8" l="1"/>
  <c r="AG124" i="8" s="1"/>
  <c r="AG78" i="8"/>
  <c r="AG240" i="8"/>
  <c r="AG67" i="8"/>
  <c r="AG274" i="8"/>
  <c r="AG273" i="8" s="1"/>
  <c r="AG218" i="8"/>
  <c r="AG217" i="8" s="1"/>
  <c r="AG160" i="8"/>
  <c r="AG159" i="8" s="1"/>
  <c r="AG254" i="8"/>
  <c r="AG249" i="8" s="1"/>
  <c r="AG267" i="8"/>
  <c r="AG281" i="8"/>
  <c r="AG288" i="8"/>
  <c r="AG287" i="8" s="1"/>
  <c r="AG286" i="8" s="1"/>
  <c r="AG62" i="8"/>
  <c r="AG113" i="8"/>
  <c r="AG112" i="8" s="1"/>
  <c r="AG111" i="8" s="1"/>
  <c r="AG110" i="8" s="1"/>
  <c r="AG54" i="8"/>
  <c r="AG10" i="8"/>
  <c r="AG9" i="8" s="1"/>
  <c r="AG8" i="8" s="1"/>
  <c r="AG174" i="8"/>
  <c r="AG36" i="8"/>
  <c r="AG35" i="8" s="1"/>
  <c r="AG48" i="8"/>
  <c r="AG98" i="8"/>
  <c r="AG151" i="8"/>
  <c r="AG198" i="8"/>
  <c r="AG193" i="8" s="1"/>
  <c r="R247" i="8"/>
  <c r="R246" i="8" s="1"/>
  <c r="R245" i="8" s="1"/>
  <c r="AG216" i="8" l="1"/>
  <c r="AG272" i="8"/>
  <c r="AG47" i="8"/>
  <c r="AG30" i="8" s="1"/>
  <c r="AG118" i="8"/>
  <c r="AG97" i="8" s="1"/>
  <c r="R95" i="8"/>
  <c r="W93" i="8"/>
  <c r="X93" i="8"/>
  <c r="Y93" i="8"/>
  <c r="Z93" i="8"/>
  <c r="AA93" i="8"/>
  <c r="AB93" i="8"/>
  <c r="AC93" i="8"/>
  <c r="AD93" i="8"/>
  <c r="AE93" i="8"/>
  <c r="AF93" i="8"/>
  <c r="V93" i="8"/>
  <c r="R93" i="8"/>
  <c r="R92" i="8" l="1"/>
  <c r="AG192" i="8"/>
  <c r="AG191" i="8" s="1"/>
  <c r="AG29" i="8"/>
  <c r="AG7" i="8" s="1"/>
  <c r="AH93" i="8"/>
  <c r="W180" i="8"/>
  <c r="X180" i="8"/>
  <c r="Y180" i="8"/>
  <c r="Z180" i="8"/>
  <c r="AA180" i="8"/>
  <c r="AB180" i="8"/>
  <c r="AC180" i="8"/>
  <c r="AD180" i="8"/>
  <c r="AE180" i="8"/>
  <c r="AF180" i="8"/>
  <c r="V180" i="8"/>
  <c r="R180" i="8"/>
  <c r="AH180" i="8" l="1"/>
  <c r="AB157" i="8"/>
  <c r="AH157" i="8" s="1"/>
  <c r="T158" i="8"/>
  <c r="T142" i="8"/>
  <c r="AB141" i="8"/>
  <c r="AH141" i="8" s="1"/>
  <c r="Q219" i="8" l="1"/>
  <c r="R234" i="8" l="1"/>
  <c r="R167" i="8"/>
  <c r="R206" i="8" l="1"/>
  <c r="R205" i="8" s="1"/>
  <c r="AF206" i="8"/>
  <c r="AF205" i="8" s="1"/>
  <c r="AE206" i="8"/>
  <c r="AE205" i="8" s="1"/>
  <c r="AD206" i="8"/>
  <c r="AD205" i="8" s="1"/>
  <c r="AC206" i="8"/>
  <c r="AC205" i="8" s="1"/>
  <c r="AB206" i="8"/>
  <c r="AB205" i="8" s="1"/>
  <c r="AA206" i="8"/>
  <c r="AA205" i="8" s="1"/>
  <c r="Z206" i="8"/>
  <c r="Z205" i="8" s="1"/>
  <c r="Y206" i="8"/>
  <c r="Y205" i="8" s="1"/>
  <c r="X206" i="8"/>
  <c r="X205" i="8" s="1"/>
  <c r="W206" i="8"/>
  <c r="W205" i="8" s="1"/>
  <c r="V206" i="8"/>
  <c r="Q205" i="8"/>
  <c r="W72" i="8"/>
  <c r="X72" i="8"/>
  <c r="Y72" i="8"/>
  <c r="Z72" i="8"/>
  <c r="AA72" i="8"/>
  <c r="AB72" i="8"/>
  <c r="AC72" i="8"/>
  <c r="AD72" i="8"/>
  <c r="AE72" i="8"/>
  <c r="AF72" i="8"/>
  <c r="V72" i="8"/>
  <c r="R74" i="8"/>
  <c r="AP74" i="8" s="1"/>
  <c r="R72" i="8" l="1"/>
  <c r="AN74" i="8"/>
  <c r="AH72" i="8"/>
  <c r="V205" i="8"/>
  <c r="AH205" i="8" s="1"/>
  <c r="AH206" i="8"/>
  <c r="W120" i="8" l="1"/>
  <c r="X120" i="8"/>
  <c r="Y120" i="8"/>
  <c r="Z120" i="8"/>
  <c r="AA120" i="8"/>
  <c r="AB120" i="8"/>
  <c r="AC120" i="8"/>
  <c r="AD120" i="8"/>
  <c r="AE120" i="8"/>
  <c r="AF120" i="8"/>
  <c r="V120" i="8"/>
  <c r="R120" i="8"/>
  <c r="AH120" i="8" l="1"/>
  <c r="Y21" i="8"/>
  <c r="Y20" i="8" s="1"/>
  <c r="Z21" i="8"/>
  <c r="Z20" i="8" s="1"/>
  <c r="AA21" i="8"/>
  <c r="AA20" i="8" s="1"/>
  <c r="AB21" i="8"/>
  <c r="AB20" i="8" s="1"/>
  <c r="AC21" i="8"/>
  <c r="AC20" i="8" s="1"/>
  <c r="AD21" i="8"/>
  <c r="AD20" i="8" s="1"/>
  <c r="AE21" i="8"/>
  <c r="AE20" i="8" s="1"/>
  <c r="AF21" i="8"/>
  <c r="AF20" i="8" s="1"/>
  <c r="W21" i="8"/>
  <c r="W20" i="8" s="1"/>
  <c r="X21" i="8"/>
  <c r="X20" i="8" s="1"/>
  <c r="V21" i="8"/>
  <c r="V20" i="8" s="1"/>
  <c r="R21" i="8"/>
  <c r="R20" i="8" s="1"/>
  <c r="AF27" i="8"/>
  <c r="AF26" i="8" s="1"/>
  <c r="AF25" i="8" s="1"/>
  <c r="AF24" i="8" s="1"/>
  <c r="AF23" i="8" s="1"/>
  <c r="AE27" i="8"/>
  <c r="AE26" i="8" s="1"/>
  <c r="AE25" i="8" s="1"/>
  <c r="AE24" i="8" s="1"/>
  <c r="AE23" i="8" s="1"/>
  <c r="AD27" i="8"/>
  <c r="AD26" i="8" s="1"/>
  <c r="AD25" i="8" s="1"/>
  <c r="AD24" i="8" s="1"/>
  <c r="AD23" i="8" s="1"/>
  <c r="AC27" i="8"/>
  <c r="AC26" i="8" s="1"/>
  <c r="AC25" i="8" s="1"/>
  <c r="AC24" i="8" s="1"/>
  <c r="AC23" i="8" s="1"/>
  <c r="AB27" i="8"/>
  <c r="AB26" i="8" s="1"/>
  <c r="AB25" i="8" s="1"/>
  <c r="AB24" i="8" s="1"/>
  <c r="AB23" i="8" s="1"/>
  <c r="AA27" i="8"/>
  <c r="AA26" i="8" s="1"/>
  <c r="AA25" i="8" s="1"/>
  <c r="AA24" i="8" s="1"/>
  <c r="AA23" i="8" s="1"/>
  <c r="Z27" i="8"/>
  <c r="Z26" i="8" s="1"/>
  <c r="Z25" i="8" s="1"/>
  <c r="Z24" i="8" s="1"/>
  <c r="Z23" i="8" s="1"/>
  <c r="Y27" i="8"/>
  <c r="Y26" i="8" s="1"/>
  <c r="Y25" i="8" s="1"/>
  <c r="Y24" i="8" s="1"/>
  <c r="Y23" i="8" s="1"/>
  <c r="X27" i="8"/>
  <c r="X26" i="8" s="1"/>
  <c r="X25" i="8" s="1"/>
  <c r="X24" i="8" s="1"/>
  <c r="X23" i="8" s="1"/>
  <c r="W27" i="8"/>
  <c r="W26" i="8" s="1"/>
  <c r="W25" i="8" s="1"/>
  <c r="W24" i="8" s="1"/>
  <c r="W23" i="8" s="1"/>
  <c r="AF15" i="8"/>
  <c r="AF14" i="8" s="1"/>
  <c r="AE15" i="8"/>
  <c r="AE14" i="8" s="1"/>
  <c r="AD15" i="8"/>
  <c r="AD14" i="8" s="1"/>
  <c r="AC15" i="8"/>
  <c r="AC14" i="8" s="1"/>
  <c r="AB15" i="8"/>
  <c r="AB14" i="8" s="1"/>
  <c r="AA15" i="8"/>
  <c r="AA14" i="8" s="1"/>
  <c r="Z15" i="8"/>
  <c r="Z14" i="8" s="1"/>
  <c r="Y15" i="8"/>
  <c r="Y14" i="8" s="1"/>
  <c r="X15" i="8"/>
  <c r="X14" i="8" s="1"/>
  <c r="W15" i="8"/>
  <c r="W14" i="8" s="1"/>
  <c r="AF12" i="8"/>
  <c r="AF11" i="8" s="1"/>
  <c r="AE12" i="8"/>
  <c r="AE11" i="8" s="1"/>
  <c r="AD12" i="8"/>
  <c r="AD11" i="8" s="1"/>
  <c r="AC12" i="8"/>
  <c r="AC11" i="8" s="1"/>
  <c r="AB12" i="8"/>
  <c r="AB11" i="8" s="1"/>
  <c r="AA12" i="8"/>
  <c r="AA11" i="8" s="1"/>
  <c r="Z12" i="8"/>
  <c r="Z11" i="8" s="1"/>
  <c r="Y12" i="8"/>
  <c r="Y11" i="8" s="1"/>
  <c r="X12" i="8"/>
  <c r="X11" i="8" s="1"/>
  <c r="W12" i="8"/>
  <c r="W11" i="8" s="1"/>
  <c r="Q11" i="8"/>
  <c r="AF306" i="8"/>
  <c r="AF305" i="8" s="1"/>
  <c r="AE306" i="8"/>
  <c r="AE305" i="8" s="1"/>
  <c r="AD306" i="8"/>
  <c r="AD305" i="8" s="1"/>
  <c r="AC306" i="8"/>
  <c r="AC305" i="8" s="1"/>
  <c r="AB306" i="8"/>
  <c r="AB305" i="8" s="1"/>
  <c r="AA306" i="8"/>
  <c r="AA305" i="8" s="1"/>
  <c r="AF290" i="8"/>
  <c r="AF289" i="8" s="1"/>
  <c r="AE290" i="8"/>
  <c r="AE289" i="8" s="1"/>
  <c r="AD290" i="8"/>
  <c r="AD289" i="8" s="1"/>
  <c r="AC290" i="8"/>
  <c r="AC289" i="8" s="1"/>
  <c r="AB290" i="8"/>
  <c r="AB289" i="8" s="1"/>
  <c r="AA290" i="8"/>
  <c r="AA289" i="8" s="1"/>
  <c r="AF284" i="8"/>
  <c r="AE284" i="8"/>
  <c r="AD284" i="8"/>
  <c r="AC284" i="8"/>
  <c r="AB284" i="8"/>
  <c r="AA284" i="8"/>
  <c r="AF282" i="8"/>
  <c r="AE282" i="8"/>
  <c r="AD282" i="8"/>
  <c r="AC282" i="8"/>
  <c r="AB282" i="8"/>
  <c r="AA282" i="8"/>
  <c r="AF279" i="8"/>
  <c r="AE279" i="8"/>
  <c r="AD279" i="8"/>
  <c r="AC279" i="8"/>
  <c r="AB279" i="8"/>
  <c r="AA279" i="8"/>
  <c r="AF277" i="8"/>
  <c r="AE277" i="8"/>
  <c r="AD277" i="8"/>
  <c r="AC277" i="8"/>
  <c r="AB277" i="8"/>
  <c r="AA277" i="8"/>
  <c r="AF275" i="8"/>
  <c r="AE275" i="8"/>
  <c r="AD275" i="8"/>
  <c r="AC275" i="8"/>
  <c r="AB275" i="8"/>
  <c r="AA275" i="8"/>
  <c r="AF270" i="8"/>
  <c r="AE270" i="8"/>
  <c r="AD270" i="8"/>
  <c r="AC270" i="8"/>
  <c r="AB270" i="8"/>
  <c r="AA270" i="8"/>
  <c r="AF268" i="8"/>
  <c r="AE268" i="8"/>
  <c r="AD268" i="8"/>
  <c r="AC268" i="8"/>
  <c r="AB268" i="8"/>
  <c r="AA268" i="8"/>
  <c r="AF264" i="8"/>
  <c r="AF263" i="8" s="1"/>
  <c r="AF262" i="8" s="1"/>
  <c r="AE264" i="8"/>
  <c r="AE263" i="8" s="1"/>
  <c r="AE262" i="8" s="1"/>
  <c r="AD264" i="8"/>
  <c r="AD263" i="8" s="1"/>
  <c r="AD262" i="8" s="1"/>
  <c r="AC264" i="8"/>
  <c r="AC263" i="8" s="1"/>
  <c r="AC262" i="8" s="1"/>
  <c r="AB264" i="8"/>
  <c r="AB263" i="8" s="1"/>
  <c r="AB262" i="8" s="1"/>
  <c r="AA264" i="8"/>
  <c r="AA263" i="8" s="1"/>
  <c r="AA262" i="8" s="1"/>
  <c r="AF258" i="8"/>
  <c r="AE258" i="8"/>
  <c r="AD258" i="8"/>
  <c r="AC258" i="8"/>
  <c r="AB258" i="8"/>
  <c r="AA258" i="8"/>
  <c r="AF255" i="8"/>
  <c r="AE255" i="8"/>
  <c r="AD255" i="8"/>
  <c r="AC255" i="8"/>
  <c r="AB255" i="8"/>
  <c r="AA255" i="8"/>
  <c r="AF252" i="8"/>
  <c r="AF251" i="8" s="1"/>
  <c r="AF250" i="8" s="1"/>
  <c r="AE252" i="8"/>
  <c r="AE251" i="8" s="1"/>
  <c r="AE250" i="8" s="1"/>
  <c r="AD252" i="8"/>
  <c r="AD251" i="8" s="1"/>
  <c r="AD250" i="8" s="1"/>
  <c r="AC252" i="8"/>
  <c r="AC251" i="8" s="1"/>
  <c r="AC250" i="8" s="1"/>
  <c r="AB252" i="8"/>
  <c r="AB251" i="8" s="1"/>
  <c r="AB250" i="8" s="1"/>
  <c r="AA252" i="8"/>
  <c r="AA251" i="8" s="1"/>
  <c r="AA250" i="8" s="1"/>
  <c r="AF246" i="8"/>
  <c r="AF245" i="8" s="1"/>
  <c r="AE246" i="8"/>
  <c r="AE245" i="8" s="1"/>
  <c r="AD246" i="8"/>
  <c r="AD245" i="8" s="1"/>
  <c r="AC246" i="8"/>
  <c r="AC245" i="8" s="1"/>
  <c r="AB246" i="8"/>
  <c r="AB245" i="8" s="1"/>
  <c r="AA246" i="8"/>
  <c r="AA245" i="8" s="1"/>
  <c r="AF243" i="8"/>
  <c r="AF242" i="8" s="1"/>
  <c r="AF241" i="8" s="1"/>
  <c r="AE243" i="8"/>
  <c r="AE242" i="8" s="1"/>
  <c r="AE241" i="8" s="1"/>
  <c r="AD243" i="8"/>
  <c r="AD242" i="8" s="1"/>
  <c r="AD241" i="8" s="1"/>
  <c r="AC243" i="8"/>
  <c r="AC242" i="8" s="1"/>
  <c r="AC241" i="8" s="1"/>
  <c r="AB243" i="8"/>
  <c r="AB242" i="8" s="1"/>
  <c r="AB241" i="8" s="1"/>
  <c r="AA243" i="8"/>
  <c r="AA242" i="8" s="1"/>
  <c r="AA241" i="8" s="1"/>
  <c r="AF234" i="8"/>
  <c r="AE234" i="8"/>
  <c r="AD234" i="8"/>
  <c r="AC234" i="8"/>
  <c r="AB234" i="8"/>
  <c r="AA234" i="8"/>
  <c r="AF231" i="8"/>
  <c r="AE231" i="8"/>
  <c r="AD231" i="8"/>
  <c r="AC231" i="8"/>
  <c r="AB231" i="8"/>
  <c r="AA231" i="8"/>
  <c r="AF214" i="8"/>
  <c r="AF213" i="8" s="1"/>
  <c r="AE214" i="8"/>
  <c r="AE213" i="8" s="1"/>
  <c r="AD214" i="8"/>
  <c r="AD213" i="8" s="1"/>
  <c r="AC214" i="8"/>
  <c r="AC213" i="8" s="1"/>
  <c r="AB214" i="8"/>
  <c r="AB213" i="8" s="1"/>
  <c r="AA214" i="8"/>
  <c r="AA213" i="8" s="1"/>
  <c r="AF203" i="8"/>
  <c r="AF202" i="8" s="1"/>
  <c r="AE203" i="8"/>
  <c r="AE202" i="8" s="1"/>
  <c r="AD203" i="8"/>
  <c r="AD202" i="8" s="1"/>
  <c r="AC203" i="8"/>
  <c r="AC202" i="8" s="1"/>
  <c r="AB203" i="8"/>
  <c r="AB202" i="8" s="1"/>
  <c r="AA203" i="8"/>
  <c r="AA202" i="8" s="1"/>
  <c r="AF200" i="8"/>
  <c r="AF199" i="8" s="1"/>
  <c r="AE200" i="8"/>
  <c r="AE199" i="8" s="1"/>
  <c r="AD200" i="8"/>
  <c r="AD199" i="8" s="1"/>
  <c r="AC200" i="8"/>
  <c r="AC199" i="8" s="1"/>
  <c r="AB200" i="8"/>
  <c r="AB199" i="8" s="1"/>
  <c r="AA200" i="8"/>
  <c r="AA199" i="8" s="1"/>
  <c r="AF196" i="8"/>
  <c r="AF195" i="8" s="1"/>
  <c r="AF194" i="8" s="1"/>
  <c r="AE196" i="8"/>
  <c r="AE195" i="8" s="1"/>
  <c r="AE194" i="8" s="1"/>
  <c r="AD196" i="8"/>
  <c r="AD195" i="8" s="1"/>
  <c r="AD194" i="8" s="1"/>
  <c r="AC196" i="8"/>
  <c r="AC195" i="8" s="1"/>
  <c r="AC194" i="8" s="1"/>
  <c r="AB196" i="8"/>
  <c r="AB195" i="8" s="1"/>
  <c r="AB194" i="8" s="1"/>
  <c r="AA196" i="8"/>
  <c r="AA195" i="8" s="1"/>
  <c r="AA194" i="8" s="1"/>
  <c r="AF189" i="8"/>
  <c r="AE189" i="8"/>
  <c r="AD189" i="8"/>
  <c r="AC189" i="8"/>
  <c r="AB189" i="8"/>
  <c r="AA189" i="8"/>
  <c r="AF187" i="8"/>
  <c r="AF186" i="8" s="1"/>
  <c r="AE187" i="8"/>
  <c r="AE186" i="8" s="1"/>
  <c r="AD187" i="8"/>
  <c r="AD186" i="8" s="1"/>
  <c r="AC187" i="8"/>
  <c r="AC186" i="8" s="1"/>
  <c r="AB187" i="8"/>
  <c r="AB186" i="8" s="1"/>
  <c r="AA187" i="8"/>
  <c r="AA186" i="8" s="1"/>
  <c r="AF184" i="8"/>
  <c r="AF183" i="8" s="1"/>
  <c r="AE184" i="8"/>
  <c r="AE183" i="8" s="1"/>
  <c r="AD184" i="8"/>
  <c r="AD183" i="8" s="1"/>
  <c r="AC184" i="8"/>
  <c r="AC183" i="8" s="1"/>
  <c r="AB184" i="8"/>
  <c r="AB183" i="8" s="1"/>
  <c r="AA184" i="8"/>
  <c r="AA183" i="8" s="1"/>
  <c r="AE179" i="8"/>
  <c r="AD179" i="8"/>
  <c r="AC179" i="8"/>
  <c r="AB179" i="8"/>
  <c r="AA179" i="8"/>
  <c r="AF179" i="8"/>
  <c r="AF176" i="8"/>
  <c r="AF175" i="8" s="1"/>
  <c r="AE176" i="8"/>
  <c r="AE175" i="8" s="1"/>
  <c r="AD176" i="8"/>
  <c r="AD175" i="8" s="1"/>
  <c r="AC176" i="8"/>
  <c r="AC175" i="8" s="1"/>
  <c r="AB176" i="8"/>
  <c r="AB175" i="8" s="1"/>
  <c r="AA176" i="8"/>
  <c r="AA175" i="8" s="1"/>
  <c r="AF167" i="8"/>
  <c r="AE167" i="8"/>
  <c r="AD167" i="8"/>
  <c r="AC167" i="8"/>
  <c r="AB167" i="8"/>
  <c r="AA167" i="8"/>
  <c r="AF161" i="8"/>
  <c r="AE161" i="8"/>
  <c r="AD161" i="8"/>
  <c r="AC161" i="8"/>
  <c r="AB161" i="8"/>
  <c r="AA161" i="8"/>
  <c r="AF156" i="8"/>
  <c r="AE156" i="8"/>
  <c r="AD156" i="8"/>
  <c r="AC156" i="8"/>
  <c r="AB156" i="8"/>
  <c r="AA156" i="8"/>
  <c r="AF152" i="8"/>
  <c r="AE152" i="8"/>
  <c r="AD152" i="8"/>
  <c r="AC152" i="8"/>
  <c r="AB152" i="8"/>
  <c r="AA152" i="8"/>
  <c r="AF149" i="8"/>
  <c r="AE149" i="8"/>
  <c r="AD149" i="8"/>
  <c r="AC149" i="8"/>
  <c r="AB149" i="8"/>
  <c r="AA149" i="8"/>
  <c r="AF140" i="8"/>
  <c r="AE140" i="8"/>
  <c r="AD140" i="8"/>
  <c r="AC140" i="8"/>
  <c r="AB140" i="8"/>
  <c r="AA140" i="8"/>
  <c r="AF138" i="8"/>
  <c r="AE138" i="8"/>
  <c r="AD138" i="8"/>
  <c r="AC138" i="8"/>
  <c r="AB138" i="8"/>
  <c r="AA138" i="8"/>
  <c r="AF126" i="8"/>
  <c r="AE126" i="8"/>
  <c r="AD126" i="8"/>
  <c r="AC126" i="8"/>
  <c r="AB126" i="8"/>
  <c r="AA126" i="8"/>
  <c r="AE119" i="8"/>
  <c r="AC119" i="8"/>
  <c r="AA119" i="8"/>
  <c r="AF119" i="8"/>
  <c r="AD119" i="8"/>
  <c r="AB119" i="8"/>
  <c r="AF116" i="8"/>
  <c r="AE116" i="8"/>
  <c r="AD116" i="8"/>
  <c r="AC116" i="8"/>
  <c r="AB116" i="8"/>
  <c r="AA116" i="8"/>
  <c r="AF114" i="8"/>
  <c r="AE114" i="8"/>
  <c r="AD114" i="8"/>
  <c r="AC114" i="8"/>
  <c r="AB114" i="8"/>
  <c r="AA114" i="8"/>
  <c r="AF107" i="8"/>
  <c r="AF106" i="8" s="1"/>
  <c r="AE107" i="8"/>
  <c r="AE106" i="8" s="1"/>
  <c r="AD107" i="8"/>
  <c r="AD106" i="8" s="1"/>
  <c r="AC107" i="8"/>
  <c r="AB107" i="8"/>
  <c r="AB106" i="8" s="1"/>
  <c r="AA107" i="8"/>
  <c r="AA106" i="8" s="1"/>
  <c r="AF103" i="8"/>
  <c r="AE103" i="8"/>
  <c r="AD103" i="8"/>
  <c r="AC103" i="8"/>
  <c r="AB103" i="8"/>
  <c r="AA103" i="8"/>
  <c r="AF99" i="8"/>
  <c r="AE99" i="8"/>
  <c r="AD99" i="8"/>
  <c r="AC99" i="8"/>
  <c r="AB99" i="8"/>
  <c r="AA99" i="8"/>
  <c r="AE92" i="8"/>
  <c r="AD92" i="8"/>
  <c r="AC92" i="8"/>
  <c r="AB92" i="8"/>
  <c r="AA92" i="8"/>
  <c r="AF92" i="8"/>
  <c r="AF88" i="8"/>
  <c r="AF87" i="8" s="1"/>
  <c r="AE88" i="8"/>
  <c r="AE87" i="8" s="1"/>
  <c r="AD88" i="8"/>
  <c r="AD87" i="8" s="1"/>
  <c r="AC88" i="8"/>
  <c r="AC87" i="8" s="1"/>
  <c r="AB88" i="8"/>
  <c r="AB87" i="8" s="1"/>
  <c r="AA88" i="8"/>
  <c r="AA87" i="8" s="1"/>
  <c r="AF85" i="8"/>
  <c r="AF84" i="8" s="1"/>
  <c r="AE85" i="8"/>
  <c r="AE84" i="8" s="1"/>
  <c r="AD85" i="8"/>
  <c r="AD84" i="8" s="1"/>
  <c r="AC85" i="8"/>
  <c r="AC84" i="8" s="1"/>
  <c r="AB85" i="8"/>
  <c r="AB84" i="8" s="1"/>
  <c r="AA85" i="8"/>
  <c r="AA84" i="8" s="1"/>
  <c r="AF80" i="8"/>
  <c r="AF79" i="8" s="1"/>
  <c r="AE80" i="8"/>
  <c r="AE79" i="8" s="1"/>
  <c r="AD80" i="8"/>
  <c r="AD79" i="8" s="1"/>
  <c r="AC80" i="8"/>
  <c r="AC79" i="8" s="1"/>
  <c r="AB80" i="8"/>
  <c r="AB79" i="8" s="1"/>
  <c r="AA80" i="8"/>
  <c r="AA79" i="8" s="1"/>
  <c r="AF76" i="8"/>
  <c r="AF75" i="8" s="1"/>
  <c r="AE76" i="8"/>
  <c r="AE75" i="8" s="1"/>
  <c r="AD76" i="8"/>
  <c r="AD75" i="8" s="1"/>
  <c r="AC76" i="8"/>
  <c r="AC75" i="8" s="1"/>
  <c r="AB76" i="8"/>
  <c r="AB75" i="8" s="1"/>
  <c r="AA76" i="8"/>
  <c r="AA75" i="8" s="1"/>
  <c r="AF70" i="8"/>
  <c r="AE70" i="8"/>
  <c r="AD70" i="8"/>
  <c r="AC70" i="8"/>
  <c r="AB70" i="8"/>
  <c r="AA70" i="8"/>
  <c r="AF68" i="8"/>
  <c r="AE68" i="8"/>
  <c r="AD68" i="8"/>
  <c r="AC68" i="8"/>
  <c r="AB68" i="8"/>
  <c r="AA68" i="8"/>
  <c r="AF65" i="8"/>
  <c r="AE65" i="8"/>
  <c r="AD65" i="8"/>
  <c r="AC65" i="8"/>
  <c r="AB65" i="8"/>
  <c r="AA65" i="8"/>
  <c r="AF63" i="8"/>
  <c r="AE63" i="8"/>
  <c r="AD63" i="8"/>
  <c r="AC63" i="8"/>
  <c r="AB63" i="8"/>
  <c r="AA63" i="8"/>
  <c r="AF60" i="8"/>
  <c r="AF59" i="8" s="1"/>
  <c r="AE60" i="8"/>
  <c r="AE59" i="8" s="1"/>
  <c r="AD60" i="8"/>
  <c r="AD59" i="8" s="1"/>
  <c r="AC60" i="8"/>
  <c r="AC59" i="8" s="1"/>
  <c r="AB60" i="8"/>
  <c r="AB59" i="8" s="1"/>
  <c r="AA60" i="8"/>
  <c r="AA59" i="8" s="1"/>
  <c r="AF55" i="8"/>
  <c r="AE55" i="8"/>
  <c r="AD55" i="8"/>
  <c r="AC55" i="8"/>
  <c r="AB55" i="8"/>
  <c r="AA55" i="8"/>
  <c r="AF52" i="8"/>
  <c r="AE52" i="8"/>
  <c r="AD52" i="8"/>
  <c r="AC52" i="8"/>
  <c r="AB52" i="8"/>
  <c r="AA52" i="8"/>
  <c r="AF49" i="8"/>
  <c r="AE49" i="8"/>
  <c r="AD49" i="8"/>
  <c r="AC49" i="8"/>
  <c r="AB49" i="8"/>
  <c r="AA49" i="8"/>
  <c r="AF44" i="8"/>
  <c r="AE44" i="8"/>
  <c r="AD44" i="8"/>
  <c r="AC44" i="8"/>
  <c r="AB44" i="8"/>
  <c r="AA44" i="8"/>
  <c r="AF41" i="8"/>
  <c r="AE41" i="8"/>
  <c r="AD41" i="8"/>
  <c r="AC41" i="8"/>
  <c r="AB41" i="8"/>
  <c r="AA41" i="8"/>
  <c r="AF39" i="8"/>
  <c r="AE39" i="8"/>
  <c r="AD39" i="8"/>
  <c r="AC39" i="8"/>
  <c r="AB39" i="8"/>
  <c r="AA39" i="8"/>
  <c r="AF37" i="8"/>
  <c r="AE37" i="8"/>
  <c r="AD37" i="8"/>
  <c r="AC37" i="8"/>
  <c r="AB37" i="8"/>
  <c r="AA37" i="8"/>
  <c r="AF33" i="8"/>
  <c r="AF32" i="8" s="1"/>
  <c r="AF31" i="8" s="1"/>
  <c r="AE33" i="8"/>
  <c r="AE32" i="8" s="1"/>
  <c r="AE31" i="8" s="1"/>
  <c r="AD33" i="8"/>
  <c r="AD32" i="8" s="1"/>
  <c r="AD31" i="8" s="1"/>
  <c r="AC33" i="8"/>
  <c r="AC32" i="8" s="1"/>
  <c r="AC31" i="8" s="1"/>
  <c r="AB33" i="8"/>
  <c r="AB32" i="8" s="1"/>
  <c r="AB31" i="8" s="1"/>
  <c r="AA33" i="8"/>
  <c r="AA32" i="8" s="1"/>
  <c r="AA31" i="8" s="1"/>
  <c r="Z306" i="8"/>
  <c r="Z305" i="8" s="1"/>
  <c r="Z290" i="8"/>
  <c r="Z289" i="8" s="1"/>
  <c r="Z284" i="8"/>
  <c r="Z282" i="8"/>
  <c r="Z279" i="8"/>
  <c r="Z277" i="8"/>
  <c r="Z275" i="8"/>
  <c r="Z270" i="8"/>
  <c r="Z268" i="8"/>
  <c r="Z264" i="8"/>
  <c r="Z263" i="8" s="1"/>
  <c r="Z262" i="8" s="1"/>
  <c r="Z258" i="8"/>
  <c r="Z255" i="8"/>
  <c r="Z252" i="8"/>
  <c r="Z251" i="8" s="1"/>
  <c r="Z250" i="8" s="1"/>
  <c r="Z246" i="8"/>
  <c r="Z245" i="8" s="1"/>
  <c r="Z243" i="8"/>
  <c r="Z242" i="8" s="1"/>
  <c r="Z241" i="8" s="1"/>
  <c r="Z234" i="8"/>
  <c r="Z231" i="8"/>
  <c r="Z214" i="8"/>
  <c r="Z213" i="8" s="1"/>
  <c r="Z203" i="8"/>
  <c r="Z202" i="8" s="1"/>
  <c r="Z200" i="8"/>
  <c r="Z199" i="8" s="1"/>
  <c r="Z196" i="8"/>
  <c r="Z195" i="8" s="1"/>
  <c r="Z194" i="8" s="1"/>
  <c r="Z189" i="8"/>
  <c r="Z187" i="8"/>
  <c r="Z186" i="8" s="1"/>
  <c r="Z184" i="8"/>
  <c r="Z183" i="8" s="1"/>
  <c r="Z179" i="8"/>
  <c r="Z176" i="8"/>
  <c r="Z175" i="8" s="1"/>
  <c r="Z167" i="8"/>
  <c r="Z161" i="8"/>
  <c r="Z156" i="8"/>
  <c r="Z152" i="8"/>
  <c r="Z149" i="8"/>
  <c r="Z140" i="8"/>
  <c r="Z138" i="8"/>
  <c r="Z126" i="8"/>
  <c r="Z119" i="8"/>
  <c r="Z116" i="8"/>
  <c r="Z114" i="8"/>
  <c r="Z107" i="8"/>
  <c r="Z106" i="8" s="1"/>
  <c r="Z103" i="8"/>
  <c r="Z99" i="8"/>
  <c r="Z92" i="8"/>
  <c r="Z88" i="8"/>
  <c r="Z87" i="8" s="1"/>
  <c r="Z85" i="8"/>
  <c r="Z84" i="8" s="1"/>
  <c r="Z80" i="8"/>
  <c r="Z79" i="8" s="1"/>
  <c r="Z76" i="8"/>
  <c r="Z75" i="8" s="1"/>
  <c r="Z70" i="8"/>
  <c r="Z68" i="8"/>
  <c r="Z65" i="8"/>
  <c r="Z63" i="8"/>
  <c r="Z60" i="8"/>
  <c r="Z59" i="8" s="1"/>
  <c r="Z55" i="8"/>
  <c r="Z52" i="8"/>
  <c r="Z49" i="8"/>
  <c r="Z44" i="8"/>
  <c r="Z41" i="8"/>
  <c r="Z39" i="8"/>
  <c r="Z37" i="8"/>
  <c r="Z33" i="8"/>
  <c r="Z32" i="8" s="1"/>
  <c r="Z31" i="8" s="1"/>
  <c r="Y306" i="8"/>
  <c r="Y305" i="8" s="1"/>
  <c r="Y290" i="8"/>
  <c r="Y289" i="8" s="1"/>
  <c r="Y284" i="8"/>
  <c r="Y282" i="8"/>
  <c r="Y279" i="8"/>
  <c r="Y277" i="8"/>
  <c r="Y275" i="8"/>
  <c r="Y270" i="8"/>
  <c r="Y268" i="8"/>
  <c r="Y264" i="8"/>
  <c r="Y263" i="8" s="1"/>
  <c r="Y262" i="8" s="1"/>
  <c r="Y258" i="8"/>
  <c r="Y255" i="8"/>
  <c r="Y252" i="8"/>
  <c r="Y251" i="8" s="1"/>
  <c r="Y250" i="8" s="1"/>
  <c r="Y246" i="8"/>
  <c r="Y245" i="8" s="1"/>
  <c r="Y243" i="8"/>
  <c r="Y242" i="8" s="1"/>
  <c r="Y241" i="8" s="1"/>
  <c r="Y234" i="8"/>
  <c r="Y231" i="8"/>
  <c r="Y214" i="8"/>
  <c r="Y213" i="8" s="1"/>
  <c r="Y203" i="8"/>
  <c r="Y202" i="8" s="1"/>
  <c r="Y200" i="8"/>
  <c r="Y199" i="8" s="1"/>
  <c r="Y196" i="8"/>
  <c r="Y195" i="8" s="1"/>
  <c r="Y194" i="8" s="1"/>
  <c r="Y189" i="8"/>
  <c r="Y187" i="8"/>
  <c r="Y186" i="8" s="1"/>
  <c r="Y184" i="8"/>
  <c r="Y183" i="8" s="1"/>
  <c r="Y179" i="8"/>
  <c r="Y176" i="8"/>
  <c r="Y175" i="8" s="1"/>
  <c r="Y167" i="8"/>
  <c r="Y161" i="8"/>
  <c r="Y156" i="8"/>
  <c r="Y152" i="8"/>
  <c r="Y149" i="8"/>
  <c r="Y140" i="8"/>
  <c r="Y138" i="8"/>
  <c r="Y126" i="8"/>
  <c r="Y119" i="8"/>
  <c r="Y116" i="8"/>
  <c r="Y114" i="8"/>
  <c r="Y107" i="8"/>
  <c r="Y106" i="8" s="1"/>
  <c r="Y103" i="8"/>
  <c r="Y99" i="8"/>
  <c r="Y92" i="8"/>
  <c r="Y88" i="8"/>
  <c r="Y87" i="8" s="1"/>
  <c r="Y85" i="8"/>
  <c r="Y84" i="8" s="1"/>
  <c r="Y80" i="8"/>
  <c r="Y79" i="8" s="1"/>
  <c r="Y76" i="8"/>
  <c r="Y75" i="8" s="1"/>
  <c r="Y70" i="8"/>
  <c r="Y68" i="8"/>
  <c r="Y65" i="8"/>
  <c r="Y63" i="8"/>
  <c r="Y60" i="8"/>
  <c r="Y59" i="8" s="1"/>
  <c r="Y55" i="8"/>
  <c r="Y52" i="8"/>
  <c r="Y49" i="8"/>
  <c r="Y44" i="8"/>
  <c r="Y41" i="8"/>
  <c r="Y39" i="8"/>
  <c r="Y37" i="8"/>
  <c r="Y33" i="8"/>
  <c r="Y32" i="8" s="1"/>
  <c r="Y31" i="8" s="1"/>
  <c r="X306" i="8"/>
  <c r="X305" i="8" s="1"/>
  <c r="X290" i="8"/>
  <c r="X289" i="8" s="1"/>
  <c r="X284" i="8"/>
  <c r="X282" i="8"/>
  <c r="X279" i="8"/>
  <c r="X277" i="8"/>
  <c r="X275" i="8"/>
  <c r="X270" i="8"/>
  <c r="X268" i="8"/>
  <c r="X264" i="8"/>
  <c r="X263" i="8" s="1"/>
  <c r="X262" i="8" s="1"/>
  <c r="X258" i="8"/>
  <c r="X255" i="8"/>
  <c r="X252" i="8"/>
  <c r="X251" i="8" s="1"/>
  <c r="X250" i="8" s="1"/>
  <c r="X246" i="8"/>
  <c r="X245" i="8" s="1"/>
  <c r="X243" i="8"/>
  <c r="X242" i="8" s="1"/>
  <c r="X241" i="8" s="1"/>
  <c r="X234" i="8"/>
  <c r="X231" i="8"/>
  <c r="X214" i="8"/>
  <c r="X213" i="8" s="1"/>
  <c r="X203" i="8"/>
  <c r="X202" i="8" s="1"/>
  <c r="X200" i="8"/>
  <c r="X199" i="8" s="1"/>
  <c r="X196" i="8"/>
  <c r="X195" i="8" s="1"/>
  <c r="X194" i="8" s="1"/>
  <c r="X189" i="8"/>
  <c r="X187" i="8"/>
  <c r="X186" i="8" s="1"/>
  <c r="X184" i="8"/>
  <c r="X183" i="8" s="1"/>
  <c r="X179" i="8"/>
  <c r="X176" i="8"/>
  <c r="X175" i="8" s="1"/>
  <c r="X167" i="8"/>
  <c r="X161" i="8"/>
  <c r="X156" i="8"/>
  <c r="X152" i="8"/>
  <c r="X149" i="8"/>
  <c r="X140" i="8"/>
  <c r="X138" i="8"/>
  <c r="X126" i="8"/>
  <c r="X119" i="8"/>
  <c r="X116" i="8"/>
  <c r="X114" i="8"/>
  <c r="X107" i="8"/>
  <c r="X106" i="8" s="1"/>
  <c r="X103" i="8"/>
  <c r="X99" i="8"/>
  <c r="X92" i="8"/>
  <c r="X88" i="8"/>
  <c r="X87" i="8" s="1"/>
  <c r="X85" i="8"/>
  <c r="X84" i="8" s="1"/>
  <c r="X80" i="8"/>
  <c r="X79" i="8" s="1"/>
  <c r="X76" i="8"/>
  <c r="X75" i="8" s="1"/>
  <c r="X70" i="8"/>
  <c r="X68" i="8"/>
  <c r="X65" i="8"/>
  <c r="X63" i="8"/>
  <c r="X60" i="8"/>
  <c r="X59" i="8" s="1"/>
  <c r="X55" i="8"/>
  <c r="X52" i="8"/>
  <c r="X49" i="8"/>
  <c r="X44" i="8"/>
  <c r="X41" i="8"/>
  <c r="X39" i="8"/>
  <c r="X37" i="8"/>
  <c r="X33" i="8"/>
  <c r="X32" i="8" s="1"/>
  <c r="X31" i="8" s="1"/>
  <c r="W306" i="8"/>
  <c r="W305" i="8" s="1"/>
  <c r="W290" i="8"/>
  <c r="W289" i="8" s="1"/>
  <c r="W284" i="8"/>
  <c r="W282" i="8"/>
  <c r="W279" i="8"/>
  <c r="W277" i="8"/>
  <c r="W275" i="8"/>
  <c r="W270" i="8"/>
  <c r="W268" i="8"/>
  <c r="W264" i="8"/>
  <c r="W263" i="8" s="1"/>
  <c r="W262" i="8" s="1"/>
  <c r="W258" i="8"/>
  <c r="W255" i="8"/>
  <c r="W252" i="8"/>
  <c r="W251" i="8" s="1"/>
  <c r="W250" i="8" s="1"/>
  <c r="W246" i="8"/>
  <c r="W245" i="8" s="1"/>
  <c r="W243" i="8"/>
  <c r="W242" i="8" s="1"/>
  <c r="W241" i="8" s="1"/>
  <c r="W234" i="8"/>
  <c r="W231" i="8"/>
  <c r="W214" i="8"/>
  <c r="W213" i="8" s="1"/>
  <c r="W203" i="8"/>
  <c r="W202" i="8" s="1"/>
  <c r="W200" i="8"/>
  <c r="W199" i="8" s="1"/>
  <c r="W196" i="8"/>
  <c r="W195" i="8" s="1"/>
  <c r="W194" i="8" s="1"/>
  <c r="W189" i="8"/>
  <c r="W187" i="8"/>
  <c r="W186" i="8" s="1"/>
  <c r="W184" i="8"/>
  <c r="W183" i="8" s="1"/>
  <c r="W179" i="8"/>
  <c r="W176" i="8"/>
  <c r="W175" i="8" s="1"/>
  <c r="W167" i="8"/>
  <c r="W161" i="8"/>
  <c r="W156" i="8"/>
  <c r="W152" i="8"/>
  <c r="W149" i="8"/>
  <c r="W140" i="8"/>
  <c r="W138" i="8"/>
  <c r="W126" i="8"/>
  <c r="W119" i="8"/>
  <c r="W116" i="8"/>
  <c r="W114" i="8"/>
  <c r="W107" i="8"/>
  <c r="W106" i="8" s="1"/>
  <c r="W103" i="8"/>
  <c r="W99" i="8"/>
  <c r="W92" i="8"/>
  <c r="W88" i="8"/>
  <c r="W87" i="8" s="1"/>
  <c r="W85" i="8"/>
  <c r="W84" i="8" s="1"/>
  <c r="W80" i="8"/>
  <c r="W79" i="8" s="1"/>
  <c r="W76" i="8"/>
  <c r="W75" i="8" s="1"/>
  <c r="W70" i="8"/>
  <c r="W68" i="8"/>
  <c r="W65" i="8"/>
  <c r="W63" i="8"/>
  <c r="W60" i="8"/>
  <c r="W59" i="8" s="1"/>
  <c r="W55" i="8"/>
  <c r="W52" i="8"/>
  <c r="W49" i="8"/>
  <c r="W44" i="8"/>
  <c r="W41" i="8"/>
  <c r="W39" i="8"/>
  <c r="W37" i="8"/>
  <c r="W33" i="8"/>
  <c r="W32" i="8" s="1"/>
  <c r="W31" i="8" s="1"/>
  <c r="V306" i="8"/>
  <c r="V290" i="8"/>
  <c r="V284" i="8"/>
  <c r="V282" i="8"/>
  <c r="V279" i="8"/>
  <c r="V277" i="8"/>
  <c r="V275" i="8"/>
  <c r="V270" i="8"/>
  <c r="V268" i="8"/>
  <c r="V264" i="8"/>
  <c r="V258" i="8"/>
  <c r="V255" i="8"/>
  <c r="V252" i="8"/>
  <c r="V246" i="8"/>
  <c r="V243" i="8"/>
  <c r="V234" i="8"/>
  <c r="V231" i="8"/>
  <c r="V214" i="8"/>
  <c r="V203" i="8"/>
  <c r="V200" i="8"/>
  <c r="V196" i="8"/>
  <c r="V189" i="8"/>
  <c r="V187" i="8"/>
  <c r="V184" i="8"/>
  <c r="V179" i="8"/>
  <c r="V176" i="8"/>
  <c r="V167" i="8"/>
  <c r="V161" i="8"/>
  <c r="V156" i="8"/>
  <c r="V152" i="8"/>
  <c r="V149" i="8"/>
  <c r="V140" i="8"/>
  <c r="V138" i="8"/>
  <c r="V126" i="8"/>
  <c r="V119" i="8"/>
  <c r="V116" i="8"/>
  <c r="V114" i="8"/>
  <c r="V107" i="8"/>
  <c r="V106" i="8" s="1"/>
  <c r="V103" i="8"/>
  <c r="V99" i="8"/>
  <c r="V92" i="8"/>
  <c r="V88" i="8"/>
  <c r="V85" i="8"/>
  <c r="V80" i="8"/>
  <c r="V76" i="8"/>
  <c r="V70" i="8"/>
  <c r="V68" i="8"/>
  <c r="V65" i="8"/>
  <c r="V63" i="8"/>
  <c r="V60" i="8"/>
  <c r="V55" i="8"/>
  <c r="V52" i="8"/>
  <c r="V49" i="8"/>
  <c r="V44" i="8"/>
  <c r="V41" i="8"/>
  <c r="V39" i="8"/>
  <c r="V37" i="8"/>
  <c r="V33" i="8"/>
  <c r="V27" i="8"/>
  <c r="V15" i="8"/>
  <c r="V12" i="8"/>
  <c r="AA67" i="8" l="1"/>
  <c r="AE67" i="8"/>
  <c r="AB125" i="8"/>
  <c r="AB124" i="8" s="1"/>
  <c r="AF125" i="8"/>
  <c r="AF124" i="8" s="1"/>
  <c r="AD67" i="8"/>
  <c r="AA125" i="8"/>
  <c r="AA124" i="8" s="1"/>
  <c r="AE125" i="8"/>
  <c r="AE124" i="8" s="1"/>
  <c r="AC67" i="8"/>
  <c r="AD125" i="8"/>
  <c r="AD124" i="8" s="1"/>
  <c r="AD78" i="8"/>
  <c r="AB67" i="8"/>
  <c r="AF67" i="8"/>
  <c r="AC125" i="8"/>
  <c r="AC124" i="8" s="1"/>
  <c r="V125" i="8"/>
  <c r="W125" i="8"/>
  <c r="W124" i="8" s="1"/>
  <c r="X125" i="8"/>
  <c r="X124" i="8" s="1"/>
  <c r="Y125" i="8"/>
  <c r="Y124" i="8" s="1"/>
  <c r="Z125" i="8"/>
  <c r="Z124" i="8" s="1"/>
  <c r="V67" i="8"/>
  <c r="AC78" i="8"/>
  <c r="AE78" i="8"/>
  <c r="W78" i="8"/>
  <c r="AF78" i="8"/>
  <c r="Y78" i="8"/>
  <c r="AA78" i="8"/>
  <c r="Z67" i="8"/>
  <c r="Y67" i="8"/>
  <c r="X67" i="8"/>
  <c r="W67" i="8"/>
  <c r="Z78" i="8"/>
  <c r="X78" i="8"/>
  <c r="AB78" i="8"/>
  <c r="AD198" i="8"/>
  <c r="AD193" i="8" s="1"/>
  <c r="AB198" i="8"/>
  <c r="AB193" i="8" s="1"/>
  <c r="AH37" i="8"/>
  <c r="AH70" i="8"/>
  <c r="AH114" i="8"/>
  <c r="AH149" i="8"/>
  <c r="AH167" i="8"/>
  <c r="AH255" i="8"/>
  <c r="AH270" i="8"/>
  <c r="AH55" i="8"/>
  <c r="AH41" i="8"/>
  <c r="AH119" i="8"/>
  <c r="AH152" i="8"/>
  <c r="AH179" i="8"/>
  <c r="AH234" i="8"/>
  <c r="AH277" i="8"/>
  <c r="AH65" i="8"/>
  <c r="AH103" i="8"/>
  <c r="AH161" i="8"/>
  <c r="AH282" i="8"/>
  <c r="AF198" i="8"/>
  <c r="AF193" i="8" s="1"/>
  <c r="AH49" i="8"/>
  <c r="AH138" i="8"/>
  <c r="AH20" i="8"/>
  <c r="AH21" i="8"/>
  <c r="V11" i="8"/>
  <c r="AH11" i="8" s="1"/>
  <c r="AH12" i="8"/>
  <c r="V26" i="8"/>
  <c r="AH27" i="8"/>
  <c r="V59" i="8"/>
  <c r="AH59" i="8" s="1"/>
  <c r="AH60" i="8"/>
  <c r="V75" i="8"/>
  <c r="AH75" i="8" s="1"/>
  <c r="AH76" i="8"/>
  <c r="V79" i="8"/>
  <c r="AH80" i="8"/>
  <c r="V87" i="8"/>
  <c r="AH87" i="8" s="1"/>
  <c r="AH88" i="8"/>
  <c r="V186" i="8"/>
  <c r="AH186" i="8" s="1"/>
  <c r="AH187" i="8"/>
  <c r="V195" i="8"/>
  <c r="AH196" i="8"/>
  <c r="V202" i="8"/>
  <c r="AH202" i="8" s="1"/>
  <c r="AH203" i="8"/>
  <c r="V245" i="8"/>
  <c r="AH245" i="8" s="1"/>
  <c r="AH246" i="8"/>
  <c r="V263" i="8"/>
  <c r="AH264" i="8"/>
  <c r="V289" i="8"/>
  <c r="AH289" i="8" s="1"/>
  <c r="AH290" i="8"/>
  <c r="V14" i="8"/>
  <c r="AH14" i="8" s="1"/>
  <c r="AH15" i="8"/>
  <c r="V32" i="8"/>
  <c r="AH33" i="8"/>
  <c r="AH39" i="8"/>
  <c r="AH44" i="8"/>
  <c r="AH52" i="8"/>
  <c r="AH57" i="8"/>
  <c r="AH63" i="8"/>
  <c r="AH68" i="8"/>
  <c r="V84" i="8"/>
  <c r="AH84" i="8" s="1"/>
  <c r="AH85" i="8"/>
  <c r="AH92" i="8"/>
  <c r="AH99" i="8"/>
  <c r="AH116" i="8"/>
  <c r="AH126" i="8"/>
  <c r="AH140" i="8"/>
  <c r="AH156" i="8"/>
  <c r="V175" i="8"/>
  <c r="AH175" i="8" s="1"/>
  <c r="AH176" i="8"/>
  <c r="V183" i="8"/>
  <c r="AH183" i="8" s="1"/>
  <c r="AH184" i="8"/>
  <c r="AH189" i="8"/>
  <c r="V199" i="8"/>
  <c r="AH199" i="8" s="1"/>
  <c r="AH200" i="8"/>
  <c r="V213" i="8"/>
  <c r="AH213" i="8" s="1"/>
  <c r="AH214" i="8"/>
  <c r="AH231" i="8"/>
  <c r="V242" i="8"/>
  <c r="AH243" i="8"/>
  <c r="V251" i="8"/>
  <c r="AH252" i="8"/>
  <c r="AH258" i="8"/>
  <c r="AH268" i="8"/>
  <c r="AH279" i="8"/>
  <c r="V305" i="8"/>
  <c r="AH305" i="8" s="1"/>
  <c r="AH306" i="8"/>
  <c r="AA198" i="8"/>
  <c r="AA193" i="8" s="1"/>
  <c r="AC198" i="8"/>
  <c r="AC193" i="8" s="1"/>
  <c r="AE198" i="8"/>
  <c r="AE193" i="8" s="1"/>
  <c r="AC106" i="8"/>
  <c r="AH106" i="8" s="1"/>
  <c r="AH107" i="8"/>
  <c r="AH284" i="8"/>
  <c r="AH275" i="8"/>
  <c r="X274" i="8"/>
  <c r="X273" i="8" s="1"/>
  <c r="Z274" i="8"/>
  <c r="Z273" i="8" s="1"/>
  <c r="AE54" i="8"/>
  <c r="AF240" i="8"/>
  <c r="AB240" i="8"/>
  <c r="AD240" i="8"/>
  <c r="AF113" i="8"/>
  <c r="AF112" i="8" s="1"/>
  <c r="AF111" i="8" s="1"/>
  <c r="AF110" i="8" s="1"/>
  <c r="AB36" i="8"/>
  <c r="AB35" i="8" s="1"/>
  <c r="X151" i="8"/>
  <c r="Z281" i="8"/>
  <c r="V62" i="8"/>
  <c r="V254" i="8"/>
  <c r="V274" i="8"/>
  <c r="W36" i="8"/>
  <c r="W35" i="8" s="1"/>
  <c r="W48" i="8"/>
  <c r="W281" i="8"/>
  <c r="W288" i="8"/>
  <c r="W287" i="8" s="1"/>
  <c r="W286" i="8" s="1"/>
  <c r="X62" i="8"/>
  <c r="X98" i="8"/>
  <c r="X113" i="8"/>
  <c r="X112" i="8" s="1"/>
  <c r="X111" i="8" s="1"/>
  <c r="X110" i="8" s="1"/>
  <c r="X267" i="8"/>
  <c r="X281" i="8"/>
  <c r="X288" i="8"/>
  <c r="X287" i="8" s="1"/>
  <c r="X286" i="8" s="1"/>
  <c r="Y62" i="8"/>
  <c r="Z48" i="8"/>
  <c r="Z113" i="8"/>
  <c r="Z112" i="8" s="1"/>
  <c r="Z111" i="8" s="1"/>
  <c r="Z110" i="8" s="1"/>
  <c r="Z151" i="8"/>
  <c r="Z267" i="8"/>
  <c r="AC274" i="8"/>
  <c r="AC273" i="8" s="1"/>
  <c r="AD48" i="8"/>
  <c r="AA54" i="8"/>
  <c r="Z254" i="8"/>
  <c r="Z249" i="8" s="1"/>
  <c r="AA240" i="8"/>
  <c r="AE240" i="8"/>
  <c r="V113" i="8"/>
  <c r="V218" i="8"/>
  <c r="W198" i="8"/>
  <c r="W193" i="8" s="1"/>
  <c r="Y113" i="8"/>
  <c r="Y112" i="8" s="1"/>
  <c r="Y111" i="8" s="1"/>
  <c r="Y110" i="8" s="1"/>
  <c r="Y218" i="8"/>
  <c r="Y217" i="8" s="1"/>
  <c r="Y254" i="8"/>
  <c r="Y249" i="8" s="1"/>
  <c r="Y288" i="8"/>
  <c r="Y287" i="8" s="1"/>
  <c r="Y286" i="8" s="1"/>
  <c r="Z198" i="8"/>
  <c r="Z193" i="8" s="1"/>
  <c r="AB113" i="8"/>
  <c r="AB112" i="8" s="1"/>
  <c r="AB111" i="8" s="1"/>
  <c r="AB110" i="8" s="1"/>
  <c r="AD113" i="8"/>
  <c r="AD112" i="8" s="1"/>
  <c r="AD111" i="8" s="1"/>
  <c r="AD110" i="8" s="1"/>
  <c r="AC218" i="8"/>
  <c r="AC217" i="8" s="1"/>
  <c r="AC281" i="8"/>
  <c r="AA288" i="8"/>
  <c r="AA287" i="8" s="1"/>
  <c r="AA286" i="8" s="1"/>
  <c r="AE288" i="8"/>
  <c r="AE287" i="8" s="1"/>
  <c r="AE286" i="8" s="1"/>
  <c r="AB288" i="8"/>
  <c r="AB287" i="8" s="1"/>
  <c r="AB286" i="8" s="1"/>
  <c r="AD288" i="8"/>
  <c r="AD287" i="8" s="1"/>
  <c r="AD286" i="8" s="1"/>
  <c r="AF288" i="8"/>
  <c r="AF287" i="8" s="1"/>
  <c r="AF286" i="8" s="1"/>
  <c r="W10" i="8"/>
  <c r="W9" i="8" s="1"/>
  <c r="W8" i="8" s="1"/>
  <c r="Y10" i="8"/>
  <c r="Y9" i="8" s="1"/>
  <c r="AA10" i="8"/>
  <c r="AA9" i="8" s="1"/>
  <c r="AA8" i="8" s="1"/>
  <c r="AC10" i="8"/>
  <c r="AC9" i="8" s="1"/>
  <c r="AC8" i="8" s="1"/>
  <c r="AE10" i="8"/>
  <c r="AE9" i="8" s="1"/>
  <c r="AE8" i="8" s="1"/>
  <c r="Z218" i="8"/>
  <c r="Z217" i="8" s="1"/>
  <c r="X198" i="8"/>
  <c r="X193" i="8" s="1"/>
  <c r="Y198" i="8"/>
  <c r="Y193" i="8" s="1"/>
  <c r="Z160" i="8"/>
  <c r="Z159" i="8" s="1"/>
  <c r="AA160" i="8"/>
  <c r="AA159" i="8" s="1"/>
  <c r="AC160" i="8"/>
  <c r="AC159" i="8" s="1"/>
  <c r="AE160" i="8"/>
  <c r="AE159" i="8" s="1"/>
  <c r="AF174" i="8"/>
  <c r="AD174" i="8"/>
  <c r="V36" i="8"/>
  <c r="V48" i="8"/>
  <c r="V54" i="8"/>
  <c r="Y174" i="8"/>
  <c r="Y240" i="8"/>
  <c r="W174" i="8"/>
  <c r="W240" i="8"/>
  <c r="W274" i="8"/>
  <c r="W273" i="8" s="1"/>
  <c r="Y36" i="8"/>
  <c r="Y35" i="8" s="1"/>
  <c r="Y48" i="8"/>
  <c r="Y54" i="8"/>
  <c r="Y274" i="8"/>
  <c r="Y273" i="8" s="1"/>
  <c r="Z36" i="8"/>
  <c r="Z35" i="8" s="1"/>
  <c r="Z62" i="8"/>
  <c r="AF36" i="8"/>
  <c r="AF35" i="8" s="1"/>
  <c r="AF62" i="8"/>
  <c r="AB98" i="8"/>
  <c r="AD98" i="8"/>
  <c r="AF98" i="8"/>
  <c r="AA174" i="8"/>
  <c r="AC174" i="8"/>
  <c r="AE174" i="8"/>
  <c r="AB254" i="8"/>
  <c r="AB249" i="8" s="1"/>
  <c r="AD254" i="8"/>
  <c r="AD249" i="8" s="1"/>
  <c r="AF254" i="8"/>
  <c r="AF249" i="8" s="1"/>
  <c r="AA254" i="8"/>
  <c r="AA249" i="8" s="1"/>
  <c r="AC254" i="8"/>
  <c r="AC249" i="8" s="1"/>
  <c r="AE254" i="8"/>
  <c r="AE249" i="8" s="1"/>
  <c r="AA267" i="8"/>
  <c r="AC267" i="8"/>
  <c r="AE267" i="8"/>
  <c r="AB267" i="8"/>
  <c r="AD267" i="8"/>
  <c r="AF267" i="8"/>
  <c r="AB174" i="8"/>
  <c r="V281" i="8"/>
  <c r="AA98" i="8"/>
  <c r="AE98" i="8"/>
  <c r="W62" i="8"/>
  <c r="W113" i="8"/>
  <c r="W112" i="8" s="1"/>
  <c r="W111" i="8" s="1"/>
  <c r="W110" i="8" s="1"/>
  <c r="W151" i="8"/>
  <c r="W160" i="8"/>
  <c r="W159" i="8" s="1"/>
  <c r="W218" i="8"/>
  <c r="W217" i="8" s="1"/>
  <c r="W254" i="8"/>
  <c r="W249" i="8" s="1"/>
  <c r="W267" i="8"/>
  <c r="X54" i="8"/>
  <c r="X160" i="8"/>
  <c r="X159" i="8" s="1"/>
  <c r="X254" i="8"/>
  <c r="X249" i="8" s="1"/>
  <c r="Y281" i="8"/>
  <c r="AD36" i="8"/>
  <c r="AD35" i="8" s="1"/>
  <c r="AA48" i="8"/>
  <c r="AC48" i="8"/>
  <c r="AE48" i="8"/>
  <c r="AB48" i="8"/>
  <c r="AF48" i="8"/>
  <c r="AC54" i="8"/>
  <c r="AB62" i="8"/>
  <c r="AD62" i="8"/>
  <c r="AB151" i="8"/>
  <c r="AD151" i="8"/>
  <c r="AF151" i="8"/>
  <c r="AA151" i="8"/>
  <c r="AC151" i="8"/>
  <c r="AE151" i="8"/>
  <c r="AB281" i="8"/>
  <c r="AD281" i="8"/>
  <c r="AF281" i="8"/>
  <c r="AA281" i="8"/>
  <c r="AE281" i="8"/>
  <c r="Z10" i="8"/>
  <c r="Z9" i="8" s="1"/>
  <c r="Z8" i="8" s="1"/>
  <c r="V98" i="8"/>
  <c r="V151" i="8"/>
  <c r="V160" i="8"/>
  <c r="V267" i="8"/>
  <c r="W54" i="8"/>
  <c r="W98" i="8"/>
  <c r="X240" i="8"/>
  <c r="Z98" i="8"/>
  <c r="Z174" i="8"/>
  <c r="Z240" i="8"/>
  <c r="Z288" i="8"/>
  <c r="Z287" i="8" s="1"/>
  <c r="Z286" i="8" s="1"/>
  <c r="AC240" i="8"/>
  <c r="AD10" i="8"/>
  <c r="AD9" i="8" s="1"/>
  <c r="AD8" i="8" s="1"/>
  <c r="X36" i="8"/>
  <c r="X35" i="8" s="1"/>
  <c r="X48" i="8"/>
  <c r="X174" i="8"/>
  <c r="X218" i="8"/>
  <c r="X217" i="8" s="1"/>
  <c r="Y98" i="8"/>
  <c r="Y151" i="8"/>
  <c r="Y160" i="8"/>
  <c r="Y159" i="8" s="1"/>
  <c r="Y267" i="8"/>
  <c r="Z54" i="8"/>
  <c r="AA36" i="8"/>
  <c r="AA35" i="8" s="1"/>
  <c r="AC36" i="8"/>
  <c r="AC35" i="8" s="1"/>
  <c r="AE36" i="8"/>
  <c r="AE35" i="8" s="1"/>
  <c r="AB54" i="8"/>
  <c r="AD54" i="8"/>
  <c r="AF54" i="8"/>
  <c r="AA62" i="8"/>
  <c r="AC62" i="8"/>
  <c r="AE62" i="8"/>
  <c r="AA113" i="8"/>
  <c r="AA112" i="8" s="1"/>
  <c r="AA111" i="8" s="1"/>
  <c r="AA110" i="8" s="1"/>
  <c r="AC113" i="8"/>
  <c r="AC112" i="8" s="1"/>
  <c r="AC111" i="8" s="1"/>
  <c r="AC110" i="8" s="1"/>
  <c r="AE113" i="8"/>
  <c r="AE112" i="8" s="1"/>
  <c r="AE111" i="8" s="1"/>
  <c r="AE110" i="8" s="1"/>
  <c r="AB160" i="8"/>
  <c r="AB159" i="8" s="1"/>
  <c r="AD160" i="8"/>
  <c r="AD159" i="8" s="1"/>
  <c r="AF160" i="8"/>
  <c r="AF159" i="8" s="1"/>
  <c r="AB218" i="8"/>
  <c r="AB217" i="8" s="1"/>
  <c r="AD218" i="8"/>
  <c r="AD217" i="8" s="1"/>
  <c r="AF218" i="8"/>
  <c r="AF217" i="8" s="1"/>
  <c r="AA218" i="8"/>
  <c r="AA217" i="8" s="1"/>
  <c r="AE218" i="8"/>
  <c r="AE217" i="8" s="1"/>
  <c r="AB274" i="8"/>
  <c r="AB273" i="8" s="1"/>
  <c r="AD274" i="8"/>
  <c r="AD273" i="8" s="1"/>
  <c r="AF274" i="8"/>
  <c r="AF273" i="8" s="1"/>
  <c r="AA274" i="8"/>
  <c r="AA273" i="8" s="1"/>
  <c r="AE274" i="8"/>
  <c r="AE273" i="8" s="1"/>
  <c r="AF10" i="8"/>
  <c r="AF9" i="8" s="1"/>
  <c r="AF8" i="8" s="1"/>
  <c r="AB10" i="8"/>
  <c r="AB9" i="8" s="1"/>
  <c r="AB8" i="8" s="1"/>
  <c r="X10" i="8"/>
  <c r="X9" i="8" s="1"/>
  <c r="X8" i="8" s="1"/>
  <c r="AC288" i="8"/>
  <c r="AC287" i="8" s="1"/>
  <c r="AC286" i="8" s="1"/>
  <c r="Q305" i="8"/>
  <c r="Q289" i="8"/>
  <c r="Q288" i="8" s="1"/>
  <c r="Q254" i="8"/>
  <c r="Q246" i="8"/>
  <c r="Q245" i="8" s="1"/>
  <c r="AD216" i="8" l="1"/>
  <c r="AB216" i="8"/>
  <c r="AE216" i="8"/>
  <c r="AA216" i="8"/>
  <c r="AA192" i="8" s="1"/>
  <c r="AA191" i="8" s="1"/>
  <c r="X216" i="8"/>
  <c r="AF216" i="8"/>
  <c r="Z216" i="8"/>
  <c r="AC216" i="8"/>
  <c r="W216" i="8"/>
  <c r="Y216" i="8"/>
  <c r="V78" i="8"/>
  <c r="AH78" i="8" s="1"/>
  <c r="AH79" i="8"/>
  <c r="V10" i="8"/>
  <c r="AH10" i="8" s="1"/>
  <c r="Y8" i="8"/>
  <c r="Z272" i="8"/>
  <c r="AC118" i="8"/>
  <c r="AH267" i="8"/>
  <c r="AH151" i="8"/>
  <c r="AH67" i="8"/>
  <c r="V124" i="8"/>
  <c r="AH124" i="8" s="1"/>
  <c r="AH125" i="8"/>
  <c r="AH48" i="8"/>
  <c r="V112" i="8"/>
  <c r="AH113" i="8"/>
  <c r="AH254" i="8"/>
  <c r="AH62" i="8"/>
  <c r="V250" i="8"/>
  <c r="AH251" i="8"/>
  <c r="V241" i="8"/>
  <c r="AH242" i="8"/>
  <c r="V31" i="8"/>
  <c r="AH31" i="8" s="1"/>
  <c r="AH32" i="8"/>
  <c r="V262" i="8"/>
  <c r="AH262" i="8" s="1"/>
  <c r="AH263" i="8"/>
  <c r="V194" i="8"/>
  <c r="AH195" i="8"/>
  <c r="V25" i="8"/>
  <c r="AH26" i="8"/>
  <c r="AC98" i="8"/>
  <c r="V159" i="8"/>
  <c r="AH159" i="8" s="1"/>
  <c r="AH160" i="8"/>
  <c r="V174" i="8"/>
  <c r="AH174" i="8" s="1"/>
  <c r="V288" i="8"/>
  <c r="AH54" i="8"/>
  <c r="V35" i="8"/>
  <c r="AH35" i="8" s="1"/>
  <c r="AH36" i="8"/>
  <c r="V198" i="8"/>
  <c r="AH198" i="8" s="1"/>
  <c r="V217" i="8"/>
  <c r="AH218" i="8"/>
  <c r="AH281" i="8"/>
  <c r="V273" i="8"/>
  <c r="AH273" i="8" s="1"/>
  <c r="AH274" i="8"/>
  <c r="AD47" i="8"/>
  <c r="AD30" i="8" s="1"/>
  <c r="X272" i="8"/>
  <c r="AF47" i="8"/>
  <c r="AF30" i="8" s="1"/>
  <c r="W272" i="8"/>
  <c r="AC272" i="8"/>
  <c r="AA272" i="8"/>
  <c r="AD272" i="8"/>
  <c r="AA47" i="8"/>
  <c r="AA30" i="8" s="1"/>
  <c r="Y272" i="8"/>
  <c r="Z118" i="8"/>
  <c r="Z97" i="8" s="1"/>
  <c r="AE118" i="8"/>
  <c r="AE97" i="8" s="1"/>
  <c r="AB118" i="8"/>
  <c r="AB97" i="8" s="1"/>
  <c r="AC47" i="8"/>
  <c r="AC30" i="8" s="1"/>
  <c r="AB47" i="8"/>
  <c r="AB30" i="8" s="1"/>
  <c r="W47" i="8"/>
  <c r="W30" i="8" s="1"/>
  <c r="AE47" i="8"/>
  <c r="AE30" i="8" s="1"/>
  <c r="AA118" i="8"/>
  <c r="AA97" i="8" s="1"/>
  <c r="Y47" i="8"/>
  <c r="Y30" i="8" s="1"/>
  <c r="Y118" i="8"/>
  <c r="Y97" i="8" s="1"/>
  <c r="W118" i="8"/>
  <c r="W97" i="8" s="1"/>
  <c r="AD118" i="8"/>
  <c r="AD97" i="8" s="1"/>
  <c r="AF118" i="8"/>
  <c r="AF97" i="8" s="1"/>
  <c r="X118" i="8"/>
  <c r="X97" i="8" s="1"/>
  <c r="AE272" i="8"/>
  <c r="AF272" i="8"/>
  <c r="AB272" i="8"/>
  <c r="Z47" i="8"/>
  <c r="Z30" i="8" s="1"/>
  <c r="V47" i="8"/>
  <c r="X47" i="8"/>
  <c r="X30" i="8" s="1"/>
  <c r="Q287" i="8"/>
  <c r="Q286" i="8" s="1"/>
  <c r="R284" i="8"/>
  <c r="R282" i="8"/>
  <c r="Q281" i="8"/>
  <c r="R279" i="8"/>
  <c r="R277" i="8"/>
  <c r="R275" i="8"/>
  <c r="Q274" i="8"/>
  <c r="Q273" i="8" s="1"/>
  <c r="R270" i="8"/>
  <c r="R268" i="8"/>
  <c r="Q267" i="8"/>
  <c r="R264" i="8"/>
  <c r="R263" i="8" s="1"/>
  <c r="R262" i="8" s="1"/>
  <c r="Q263" i="8"/>
  <c r="Q262" i="8" s="1"/>
  <c r="R252" i="8"/>
  <c r="R251" i="8" s="1"/>
  <c r="R250" i="8" s="1"/>
  <c r="Q251" i="8"/>
  <c r="Q250" i="8" s="1"/>
  <c r="R243" i="8"/>
  <c r="R242" i="8" s="1"/>
  <c r="R241" i="8" s="1"/>
  <c r="Q242" i="8"/>
  <c r="Q241" i="8" s="1"/>
  <c r="Q240" i="8" s="1"/>
  <c r="R231" i="8"/>
  <c r="Q218" i="8"/>
  <c r="Q217" i="8" s="1"/>
  <c r="R214" i="8"/>
  <c r="R213" i="8" s="1"/>
  <c r="Q213" i="8"/>
  <c r="R203" i="8"/>
  <c r="R202" i="8" s="1"/>
  <c r="Q202" i="8"/>
  <c r="R200" i="8"/>
  <c r="R199" i="8" s="1"/>
  <c r="Q199" i="8"/>
  <c r="R196" i="8"/>
  <c r="R195" i="8" s="1"/>
  <c r="R194" i="8" s="1"/>
  <c r="Q195" i="8"/>
  <c r="Q194" i="8" s="1"/>
  <c r="R189" i="8"/>
  <c r="R187" i="8"/>
  <c r="R186" i="8" s="1"/>
  <c r="Q186" i="8"/>
  <c r="R184" i="8"/>
  <c r="R183" i="8" s="1"/>
  <c r="Q183" i="8"/>
  <c r="R179" i="8"/>
  <c r="Q179" i="8"/>
  <c r="R176" i="8"/>
  <c r="R175" i="8" s="1"/>
  <c r="Q175" i="8"/>
  <c r="R161" i="8"/>
  <c r="R160" i="8" s="1"/>
  <c r="R159" i="8" s="1"/>
  <c r="Q160" i="8"/>
  <c r="Q159" i="8" s="1"/>
  <c r="R156" i="8"/>
  <c r="R152" i="8"/>
  <c r="Q151" i="8"/>
  <c r="R149" i="8"/>
  <c r="R140" i="8"/>
  <c r="R138" i="8"/>
  <c r="Q124" i="8"/>
  <c r="R119" i="8"/>
  <c r="Q119" i="8"/>
  <c r="R116" i="8"/>
  <c r="R114" i="8"/>
  <c r="Q113" i="8"/>
  <c r="Q112" i="8" s="1"/>
  <c r="Q111" i="8" s="1"/>
  <c r="Q110" i="8" s="1"/>
  <c r="R107" i="8"/>
  <c r="R106" i="8" s="1"/>
  <c r="Q106" i="8"/>
  <c r="Q98" i="8" s="1"/>
  <c r="R103" i="8"/>
  <c r="R99" i="8"/>
  <c r="Q92" i="8"/>
  <c r="R88" i="8"/>
  <c r="R87" i="8" s="1"/>
  <c r="Q87" i="8"/>
  <c r="R85" i="8"/>
  <c r="R84" i="8" s="1"/>
  <c r="Q84" i="8"/>
  <c r="R80" i="8"/>
  <c r="R79" i="8" s="1"/>
  <c r="Q79" i="8"/>
  <c r="R76" i="8"/>
  <c r="R75" i="8" s="1"/>
  <c r="Q75" i="8"/>
  <c r="R70" i="8"/>
  <c r="R68" i="8"/>
  <c r="R65" i="8"/>
  <c r="R63" i="8"/>
  <c r="Q62" i="8"/>
  <c r="R60" i="8"/>
  <c r="R59" i="8" s="1"/>
  <c r="Q59" i="8"/>
  <c r="R57" i="8"/>
  <c r="R55" i="8"/>
  <c r="Q54" i="8"/>
  <c r="R52" i="8"/>
  <c r="R49" i="8"/>
  <c r="Q48" i="8"/>
  <c r="R44" i="8"/>
  <c r="R41" i="8"/>
  <c r="R39" i="8"/>
  <c r="R37" i="8"/>
  <c r="Q35" i="8"/>
  <c r="R33" i="8"/>
  <c r="R32" i="8" s="1"/>
  <c r="R31" i="8" s="1"/>
  <c r="Q32" i="8"/>
  <c r="Q31" i="8" s="1"/>
  <c r="R27" i="8"/>
  <c r="R26" i="8" s="1"/>
  <c r="R25" i="8" s="1"/>
  <c r="R24" i="8" s="1"/>
  <c r="R23" i="8" s="1"/>
  <c r="Q26" i="8"/>
  <c r="Q25" i="8" s="1"/>
  <c r="Q24" i="8" s="1"/>
  <c r="Q23" i="8" s="1"/>
  <c r="Q20" i="8"/>
  <c r="R15" i="8"/>
  <c r="R14" i="8" s="1"/>
  <c r="R10" i="8" s="1"/>
  <c r="Q14" i="8"/>
  <c r="S353" i="5"/>
  <c r="S352" i="5"/>
  <c r="R351" i="5"/>
  <c r="S351" i="5" s="1"/>
  <c r="AC343" i="5"/>
  <c r="AA343" i="5"/>
  <c r="AB343" i="5" s="1"/>
  <c r="AD343" i="5" s="1"/>
  <c r="AA341" i="5"/>
  <c r="Z341" i="5"/>
  <c r="R329" i="5"/>
  <c r="R328" i="5" s="1"/>
  <c r="S328" i="5" s="1"/>
  <c r="AC324" i="5"/>
  <c r="AA324" i="5"/>
  <c r="AB324" i="5" s="1"/>
  <c r="AD324" i="5" s="1"/>
  <c r="AC323" i="5"/>
  <c r="R323" i="5"/>
  <c r="Q318" i="5"/>
  <c r="Q317" i="5" s="1"/>
  <c r="Q316" i="5" s="1"/>
  <c r="R314" i="5"/>
  <c r="R312" i="5"/>
  <c r="Q311" i="5"/>
  <c r="R309" i="5"/>
  <c r="AC308" i="5"/>
  <c r="AA308" i="5"/>
  <c r="AB308" i="5" s="1"/>
  <c r="AD308" i="5" s="1"/>
  <c r="R307" i="5"/>
  <c r="AC306" i="5"/>
  <c r="AA306" i="5"/>
  <c r="AB306" i="5" s="1"/>
  <c r="AD306" i="5" s="1"/>
  <c r="R305" i="5"/>
  <c r="Q304" i="5"/>
  <c r="Q303" i="5" s="1"/>
  <c r="Q302" i="5" s="1"/>
  <c r="AC301" i="5"/>
  <c r="R301" i="5"/>
  <c r="Z299" i="5"/>
  <c r="Y299" i="5"/>
  <c r="X299" i="5"/>
  <c r="R298" i="5"/>
  <c r="Q297" i="5"/>
  <c r="AC296" i="5"/>
  <c r="AA296" i="5"/>
  <c r="AB296" i="5" s="1"/>
  <c r="AD296" i="5" s="1"/>
  <c r="R295" i="5"/>
  <c r="R293" i="5"/>
  <c r="Q292" i="5"/>
  <c r="R290" i="5"/>
  <c r="R289" i="5" s="1"/>
  <c r="Q289" i="5"/>
  <c r="R286" i="5"/>
  <c r="R285" i="5" s="1"/>
  <c r="Q285" i="5"/>
  <c r="AC284" i="5"/>
  <c r="R284" i="5"/>
  <c r="AA284" i="5" s="1"/>
  <c r="AB284" i="5" s="1"/>
  <c r="AC283" i="5"/>
  <c r="AA283" i="5"/>
  <c r="AB283" i="5" s="1"/>
  <c r="AD283" i="5" s="1"/>
  <c r="AC282" i="5"/>
  <c r="AA282" i="5"/>
  <c r="AB282" i="5" s="1"/>
  <c r="AD282" i="5" s="1"/>
  <c r="Q280" i="5"/>
  <c r="Q279" i="5"/>
  <c r="AC277" i="5"/>
  <c r="AA277" i="5"/>
  <c r="AB277" i="5" s="1"/>
  <c r="AD277" i="5" s="1"/>
  <c r="R276" i="5"/>
  <c r="R275" i="5" s="1"/>
  <c r="Q276" i="5"/>
  <c r="Q275" i="5" s="1"/>
  <c r="AC274" i="5"/>
  <c r="AB274" i="5"/>
  <c r="AD274" i="5" s="1"/>
  <c r="AA274" i="5"/>
  <c r="X274" i="5"/>
  <c r="AC273" i="5"/>
  <c r="AA273" i="5"/>
  <c r="AB273" i="5" s="1"/>
  <c r="AD273" i="5" s="1"/>
  <c r="R272" i="5"/>
  <c r="R271" i="5" s="1"/>
  <c r="R270" i="5" s="1"/>
  <c r="Q271" i="5"/>
  <c r="Q270" i="5" s="1"/>
  <c r="R267" i="5"/>
  <c r="R266" i="5" s="1"/>
  <c r="R265" i="5" s="1"/>
  <c r="Q266" i="5"/>
  <c r="Q265" i="5" s="1"/>
  <c r="Q260" i="5" s="1"/>
  <c r="AC264" i="5"/>
  <c r="AA264" i="5"/>
  <c r="AB264" i="5" s="1"/>
  <c r="AD264" i="5" s="1"/>
  <c r="R263" i="5"/>
  <c r="R262" i="5" s="1"/>
  <c r="R261" i="5" s="1"/>
  <c r="AC259" i="5"/>
  <c r="R259" i="5"/>
  <c r="AC258" i="5"/>
  <c r="AA258" i="5"/>
  <c r="AB258" i="5" s="1"/>
  <c r="AD258" i="5" s="1"/>
  <c r="R257" i="5"/>
  <c r="Q257" i="5"/>
  <c r="AC256" i="5"/>
  <c r="AA256" i="5"/>
  <c r="AB256" i="5" s="1"/>
  <c r="AD256" i="5" s="1"/>
  <c r="AC254" i="5"/>
  <c r="AA254" i="5"/>
  <c r="AB254" i="5" s="1"/>
  <c r="AD254" i="5" s="1"/>
  <c r="R253" i="5"/>
  <c r="AC252" i="5"/>
  <c r="AA252" i="5"/>
  <c r="AB252" i="5" s="1"/>
  <c r="AD252" i="5" s="1"/>
  <c r="AC251" i="5"/>
  <c r="AA251" i="5"/>
  <c r="AB251" i="5" s="1"/>
  <c r="AD251" i="5" s="1"/>
  <c r="AC250" i="5"/>
  <c r="AA250" i="5"/>
  <c r="AB250" i="5" s="1"/>
  <c r="AD250" i="5" s="1"/>
  <c r="AC249" i="5"/>
  <c r="R249" i="5"/>
  <c r="AA249" i="5" s="1"/>
  <c r="AB249" i="5" s="1"/>
  <c r="Z248" i="5"/>
  <c r="Y248" i="5"/>
  <c r="X248" i="5"/>
  <c r="R248" i="5"/>
  <c r="AA248" i="5" s="1"/>
  <c r="AC247" i="5"/>
  <c r="AA247" i="5"/>
  <c r="AB247" i="5" s="1"/>
  <c r="AD247" i="5" s="1"/>
  <c r="AC246" i="5"/>
  <c r="AA246" i="5"/>
  <c r="AB246" i="5" s="1"/>
  <c r="AD246" i="5" s="1"/>
  <c r="AC245" i="5"/>
  <c r="AA245" i="5"/>
  <c r="AB245" i="5" s="1"/>
  <c r="AD245" i="5" s="1"/>
  <c r="AC244" i="5"/>
  <c r="AA244" i="5"/>
  <c r="AB244" i="5" s="1"/>
  <c r="AD244" i="5" s="1"/>
  <c r="AC243" i="5"/>
  <c r="AA243" i="5"/>
  <c r="AB243" i="5" s="1"/>
  <c r="AD243" i="5" s="1"/>
  <c r="Q242" i="5"/>
  <c r="AC238" i="5"/>
  <c r="R238" i="5"/>
  <c r="Q236" i="5"/>
  <c r="AC235" i="5"/>
  <c r="AA235" i="5"/>
  <c r="AB235" i="5" s="1"/>
  <c r="AD235" i="5" s="1"/>
  <c r="R234" i="5"/>
  <c r="R233" i="5" s="1"/>
  <c r="Q233" i="5"/>
  <c r="R230" i="5"/>
  <c r="AC228" i="5"/>
  <c r="R228" i="5"/>
  <c r="Q226" i="5"/>
  <c r="AC225" i="5"/>
  <c r="R225" i="5"/>
  <c r="Q223" i="5"/>
  <c r="AC222" i="5"/>
  <c r="AA222" i="5"/>
  <c r="AB222" i="5" s="1"/>
  <c r="AD222" i="5" s="1"/>
  <c r="R221" i="5"/>
  <c r="R220" i="5" s="1"/>
  <c r="Q220" i="5"/>
  <c r="AC218" i="5"/>
  <c r="AA218" i="5"/>
  <c r="AB218" i="5" s="1"/>
  <c r="AD218" i="5" s="1"/>
  <c r="R217" i="5"/>
  <c r="R216" i="5" s="1"/>
  <c r="R215" i="5" s="1"/>
  <c r="Q216" i="5"/>
  <c r="Q215" i="5" s="1"/>
  <c r="AC211" i="5"/>
  <c r="AA211" i="5"/>
  <c r="AB211" i="5" s="1"/>
  <c r="AD211" i="5" s="1"/>
  <c r="R210" i="5"/>
  <c r="AC209" i="5"/>
  <c r="AA209" i="5"/>
  <c r="AB209" i="5" s="1"/>
  <c r="AD209" i="5" s="1"/>
  <c r="R208" i="5"/>
  <c r="R206" i="5" s="1"/>
  <c r="Q206" i="5"/>
  <c r="AC205" i="5"/>
  <c r="R205" i="5"/>
  <c r="Q203" i="5"/>
  <c r="AC202" i="5"/>
  <c r="AA202" i="5"/>
  <c r="AB202" i="5" s="1"/>
  <c r="AD202" i="5" s="1"/>
  <c r="R201" i="5"/>
  <c r="R200" i="5" s="1"/>
  <c r="Q200" i="5"/>
  <c r="AC199" i="5"/>
  <c r="AA199" i="5"/>
  <c r="AB199" i="5" s="1"/>
  <c r="AD199" i="5" s="1"/>
  <c r="AC198" i="5"/>
  <c r="AA198" i="5"/>
  <c r="AB198" i="5" s="1"/>
  <c r="AD198" i="5" s="1"/>
  <c r="AC197" i="5"/>
  <c r="AA197" i="5"/>
  <c r="AB197" i="5" s="1"/>
  <c r="AD197" i="5" s="1"/>
  <c r="AC196" i="5"/>
  <c r="AA196" i="5"/>
  <c r="AB196" i="5" s="1"/>
  <c r="AD196" i="5" s="1"/>
  <c r="AC195" i="5"/>
  <c r="AA195" i="5"/>
  <c r="AB195" i="5" s="1"/>
  <c r="AD195" i="5" s="1"/>
  <c r="AC194" i="5"/>
  <c r="R194" i="5"/>
  <c r="Q192" i="5"/>
  <c r="AC190" i="5"/>
  <c r="Y190" i="5"/>
  <c r="AA190" i="5" s="1"/>
  <c r="AB190" i="5" s="1"/>
  <c r="X190" i="5"/>
  <c r="R189" i="5"/>
  <c r="AC188" i="5"/>
  <c r="AA188" i="5"/>
  <c r="AB188" i="5" s="1"/>
  <c r="AD188" i="5" s="1"/>
  <c r="AC187" i="5"/>
  <c r="AA187" i="5"/>
  <c r="AB187" i="5" s="1"/>
  <c r="AD187" i="5" s="1"/>
  <c r="AC186" i="5"/>
  <c r="AA186" i="5"/>
  <c r="AB186" i="5" s="1"/>
  <c r="AD186" i="5" s="1"/>
  <c r="AC185" i="5"/>
  <c r="AA185" i="5"/>
  <c r="AB185" i="5" s="1"/>
  <c r="AD185" i="5" s="1"/>
  <c r="AC184" i="5"/>
  <c r="AA184" i="5"/>
  <c r="AB184" i="5" s="1"/>
  <c r="AD184" i="5" s="1"/>
  <c r="AC183" i="5"/>
  <c r="AA183" i="5"/>
  <c r="AB183" i="5" s="1"/>
  <c r="AD183" i="5" s="1"/>
  <c r="R182" i="5"/>
  <c r="AC181" i="5"/>
  <c r="AA181" i="5"/>
  <c r="AB181" i="5" s="1"/>
  <c r="AD181" i="5" s="1"/>
  <c r="R180" i="5"/>
  <c r="Q180" i="5"/>
  <c r="Q179" i="5" s="1"/>
  <c r="Q178" i="5" s="1"/>
  <c r="AC177" i="5"/>
  <c r="AA177" i="5"/>
  <c r="AB177" i="5" s="1"/>
  <c r="AD177" i="5" s="1"/>
  <c r="AC176" i="5"/>
  <c r="AA176" i="5"/>
  <c r="AB176" i="5" s="1"/>
  <c r="AD176" i="5" s="1"/>
  <c r="R175" i="5"/>
  <c r="AC174" i="5"/>
  <c r="AA174" i="5"/>
  <c r="AB174" i="5" s="1"/>
  <c r="AD174" i="5" s="1"/>
  <c r="AC173" i="5"/>
  <c r="AA173" i="5"/>
  <c r="AB173" i="5" s="1"/>
  <c r="AD173" i="5" s="1"/>
  <c r="Z172" i="5"/>
  <c r="Y172" i="5"/>
  <c r="X172" i="5"/>
  <c r="R171" i="5"/>
  <c r="Q170" i="5"/>
  <c r="AC169" i="5"/>
  <c r="AA169" i="5"/>
  <c r="AB169" i="5" s="1"/>
  <c r="AD169" i="5" s="1"/>
  <c r="R168" i="5"/>
  <c r="AC167" i="5"/>
  <c r="AA167" i="5"/>
  <c r="AB167" i="5" s="1"/>
  <c r="AD167" i="5" s="1"/>
  <c r="R166" i="5"/>
  <c r="AC165" i="5"/>
  <c r="AA165" i="5"/>
  <c r="AB165" i="5" s="1"/>
  <c r="AD165" i="5" s="1"/>
  <c r="AC164" i="5"/>
  <c r="AA164" i="5"/>
  <c r="AB164" i="5" s="1"/>
  <c r="AD164" i="5" s="1"/>
  <c r="AC163" i="5"/>
  <c r="AA163" i="5"/>
  <c r="AB163" i="5" s="1"/>
  <c r="AD163" i="5" s="1"/>
  <c r="AC162" i="5"/>
  <c r="AA162" i="5"/>
  <c r="AB162" i="5" s="1"/>
  <c r="AD162" i="5" s="1"/>
  <c r="AC161" i="5"/>
  <c r="AA161" i="5"/>
  <c r="AB161" i="5" s="1"/>
  <c r="AD161" i="5" s="1"/>
  <c r="AC160" i="5"/>
  <c r="AA160" i="5"/>
  <c r="AB160" i="5" s="1"/>
  <c r="AD160" i="5" s="1"/>
  <c r="AC159" i="5"/>
  <c r="AA159" i="5"/>
  <c r="AB159" i="5" s="1"/>
  <c r="AD159" i="5" s="1"/>
  <c r="AC158" i="5"/>
  <c r="AA158" i="5"/>
  <c r="AB158" i="5" s="1"/>
  <c r="AD158" i="5" s="1"/>
  <c r="AC157" i="5"/>
  <c r="AA157" i="5"/>
  <c r="AB157" i="5" s="1"/>
  <c r="AD157" i="5" s="1"/>
  <c r="AC156" i="5"/>
  <c r="AA156" i="5"/>
  <c r="AB156" i="5" s="1"/>
  <c r="AD156" i="5" s="1"/>
  <c r="AC155" i="5"/>
  <c r="AA155" i="5"/>
  <c r="AB155" i="5" s="1"/>
  <c r="AD155" i="5" s="1"/>
  <c r="R154" i="5"/>
  <c r="AC153" i="5"/>
  <c r="AA153" i="5"/>
  <c r="AB153" i="5" s="1"/>
  <c r="AD153" i="5" s="1"/>
  <c r="R152" i="5"/>
  <c r="AC151" i="5"/>
  <c r="AA151" i="5"/>
  <c r="AB151" i="5" s="1"/>
  <c r="AD151" i="5" s="1"/>
  <c r="AC150" i="5"/>
  <c r="AA150" i="5"/>
  <c r="AB150" i="5" s="1"/>
  <c r="AD150" i="5" s="1"/>
  <c r="AC149" i="5"/>
  <c r="AA149" i="5"/>
  <c r="AB149" i="5" s="1"/>
  <c r="AD149" i="5" s="1"/>
  <c r="AC148" i="5"/>
  <c r="AA148" i="5"/>
  <c r="AB148" i="5" s="1"/>
  <c r="AD148" i="5" s="1"/>
  <c r="AC147" i="5"/>
  <c r="AA147" i="5"/>
  <c r="AB147" i="5" s="1"/>
  <c r="AD147" i="5" s="1"/>
  <c r="AC146" i="5"/>
  <c r="AA146" i="5"/>
  <c r="AB146" i="5" s="1"/>
  <c r="AD146" i="5" s="1"/>
  <c r="AC145" i="5"/>
  <c r="AA145" i="5"/>
  <c r="AB145" i="5" s="1"/>
  <c r="AD145" i="5" s="1"/>
  <c r="AC144" i="5"/>
  <c r="AA144" i="5"/>
  <c r="AB144" i="5" s="1"/>
  <c r="AD144" i="5" s="1"/>
  <c r="R143" i="5"/>
  <c r="Q143" i="5"/>
  <c r="Q142" i="5" s="1"/>
  <c r="Q141" i="5" s="1"/>
  <c r="AC140" i="5"/>
  <c r="AA140" i="5"/>
  <c r="AB140" i="5" s="1"/>
  <c r="AD140" i="5" s="1"/>
  <c r="AC139" i="5"/>
  <c r="AA139" i="5"/>
  <c r="AB139" i="5" s="1"/>
  <c r="AD139" i="5" s="1"/>
  <c r="R138" i="5"/>
  <c r="AC137" i="5"/>
  <c r="AA137" i="5"/>
  <c r="AB137" i="5" s="1"/>
  <c r="AD137" i="5" s="1"/>
  <c r="AC136" i="5"/>
  <c r="AA136" i="5"/>
  <c r="AB136" i="5" s="1"/>
  <c r="AD136" i="5" s="1"/>
  <c r="R135" i="5"/>
  <c r="Q135" i="5"/>
  <c r="Q134" i="5" s="1"/>
  <c r="R131" i="5"/>
  <c r="Y130" i="5"/>
  <c r="AA130" i="5" s="1"/>
  <c r="X130" i="5"/>
  <c r="R129" i="5"/>
  <c r="Q128" i="5"/>
  <c r="Q127" i="5" s="1"/>
  <c r="Q126" i="5" s="1"/>
  <c r="Q125" i="5" s="1"/>
  <c r="AC124" i="5"/>
  <c r="R124" i="5"/>
  <c r="AA124" i="5" s="1"/>
  <c r="AB124" i="5" s="1"/>
  <c r="AC123" i="5"/>
  <c r="R123" i="5"/>
  <c r="AA123" i="5" s="1"/>
  <c r="AB123" i="5" s="1"/>
  <c r="Q121" i="5"/>
  <c r="Q113" i="5" s="1"/>
  <c r="AC120" i="5"/>
  <c r="AA120" i="5"/>
  <c r="AB120" i="5" s="1"/>
  <c r="AD120" i="5" s="1"/>
  <c r="X120" i="5"/>
  <c r="AC119" i="5"/>
  <c r="AA119" i="5"/>
  <c r="AB119" i="5" s="1"/>
  <c r="AD119" i="5" s="1"/>
  <c r="R118" i="5"/>
  <c r="AC117" i="5"/>
  <c r="Y117" i="5"/>
  <c r="AA117" i="5" s="1"/>
  <c r="AB117" i="5" s="1"/>
  <c r="X117" i="5"/>
  <c r="AC116" i="5"/>
  <c r="AA116" i="5"/>
  <c r="AB116" i="5" s="1"/>
  <c r="AD116" i="5" s="1"/>
  <c r="AC115" i="5"/>
  <c r="AA115" i="5"/>
  <c r="AB115" i="5" s="1"/>
  <c r="AD115" i="5" s="1"/>
  <c r="R114" i="5"/>
  <c r="AC112" i="5"/>
  <c r="AA112" i="5"/>
  <c r="AB112" i="5" s="1"/>
  <c r="AD112" i="5" s="1"/>
  <c r="R111" i="5"/>
  <c r="R110" i="5" s="1"/>
  <c r="Q110" i="5"/>
  <c r="Q109" i="5" s="1"/>
  <c r="R109" i="5"/>
  <c r="AC107" i="5"/>
  <c r="AA107" i="5"/>
  <c r="AB107" i="5" s="1"/>
  <c r="AD107" i="5" s="1"/>
  <c r="R106" i="5"/>
  <c r="AC105" i="5"/>
  <c r="AA105" i="5"/>
  <c r="AB105" i="5" s="1"/>
  <c r="AD105" i="5" s="1"/>
  <c r="AC104" i="5"/>
  <c r="AA104" i="5"/>
  <c r="AB104" i="5" s="1"/>
  <c r="AD104" i="5" s="1"/>
  <c r="R103" i="5"/>
  <c r="Q102" i="5"/>
  <c r="AC101" i="5"/>
  <c r="AA101" i="5"/>
  <c r="AB101" i="5" s="1"/>
  <c r="AD101" i="5" s="1"/>
  <c r="AC100" i="5"/>
  <c r="AA100" i="5"/>
  <c r="AB100" i="5" s="1"/>
  <c r="AD100" i="5" s="1"/>
  <c r="AC99" i="5"/>
  <c r="AA99" i="5"/>
  <c r="AB99" i="5" s="1"/>
  <c r="AD99" i="5" s="1"/>
  <c r="R98" i="5"/>
  <c r="R97" i="5" s="1"/>
  <c r="Q97" i="5"/>
  <c r="AC96" i="5"/>
  <c r="AA96" i="5"/>
  <c r="AB96" i="5" s="1"/>
  <c r="AD96" i="5" s="1"/>
  <c r="R95" i="5"/>
  <c r="R94" i="5" s="1"/>
  <c r="Q94" i="5"/>
  <c r="AC93" i="5"/>
  <c r="AA93" i="5"/>
  <c r="AB93" i="5" s="1"/>
  <c r="AD93" i="5" s="1"/>
  <c r="AC92" i="5"/>
  <c r="AA92" i="5"/>
  <c r="AB92" i="5" s="1"/>
  <c r="AD92" i="5" s="1"/>
  <c r="R91" i="5"/>
  <c r="R90" i="5" s="1"/>
  <c r="Q90" i="5"/>
  <c r="AC89" i="5"/>
  <c r="AA89" i="5"/>
  <c r="AB89" i="5" s="1"/>
  <c r="AD89" i="5" s="1"/>
  <c r="AC88" i="5"/>
  <c r="R88" i="5"/>
  <c r="R86" i="5" s="1"/>
  <c r="AC87" i="5"/>
  <c r="AA87" i="5"/>
  <c r="AB87" i="5" s="1"/>
  <c r="AD87" i="5" s="1"/>
  <c r="AC84" i="5"/>
  <c r="AA84" i="5"/>
  <c r="AB84" i="5" s="1"/>
  <c r="AD84" i="5" s="1"/>
  <c r="X84" i="5"/>
  <c r="R83" i="5"/>
  <c r="R82" i="5" s="1"/>
  <c r="Q82" i="5"/>
  <c r="AC81" i="5"/>
  <c r="R81" i="5"/>
  <c r="AA81" i="5" s="1"/>
  <c r="AB81" i="5" s="1"/>
  <c r="AC79" i="5"/>
  <c r="AA79" i="5"/>
  <c r="AB79" i="5" s="1"/>
  <c r="AD79" i="5" s="1"/>
  <c r="R78" i="5"/>
  <c r="AC77" i="5"/>
  <c r="AA77" i="5"/>
  <c r="AB77" i="5" s="1"/>
  <c r="AD77" i="5" s="1"/>
  <c r="R76" i="5"/>
  <c r="AC75" i="5"/>
  <c r="AA75" i="5"/>
  <c r="AB75" i="5" s="1"/>
  <c r="AD75" i="5" s="1"/>
  <c r="R74" i="5"/>
  <c r="Q73" i="5"/>
  <c r="AC72" i="5"/>
  <c r="R72" i="5"/>
  <c r="AA72" i="5" s="1"/>
  <c r="AB72" i="5" s="1"/>
  <c r="AC70" i="5"/>
  <c r="R70" i="5"/>
  <c r="AA70" i="5" s="1"/>
  <c r="AB70" i="5" s="1"/>
  <c r="Q68" i="5"/>
  <c r="AC67" i="5"/>
  <c r="R67" i="5"/>
  <c r="AA67" i="5" s="1"/>
  <c r="AB67" i="5" s="1"/>
  <c r="Q65" i="5"/>
  <c r="AC64" i="5"/>
  <c r="AA64" i="5"/>
  <c r="AB64" i="5" s="1"/>
  <c r="AD64" i="5" s="1"/>
  <c r="R63" i="5"/>
  <c r="AC62" i="5"/>
  <c r="AA62" i="5"/>
  <c r="AB62" i="5" s="1"/>
  <c r="AD62" i="5" s="1"/>
  <c r="R61" i="5"/>
  <c r="Q60" i="5"/>
  <c r="AC59" i="5"/>
  <c r="AA59" i="5"/>
  <c r="AB59" i="5" s="1"/>
  <c r="AD59" i="5" s="1"/>
  <c r="X59" i="5"/>
  <c r="AC58" i="5"/>
  <c r="AA58" i="5"/>
  <c r="AB58" i="5" s="1"/>
  <c r="AD58" i="5" s="1"/>
  <c r="R57" i="5"/>
  <c r="AC56" i="5"/>
  <c r="R56" i="5"/>
  <c r="AA56" i="5" s="1"/>
  <c r="AB56" i="5" s="1"/>
  <c r="AC55" i="5"/>
  <c r="AA55" i="5"/>
  <c r="AB55" i="5" s="1"/>
  <c r="AD55" i="5" s="1"/>
  <c r="Q53" i="5"/>
  <c r="AC51" i="5"/>
  <c r="AA51" i="5"/>
  <c r="AB51" i="5" s="1"/>
  <c r="AD51" i="5" s="1"/>
  <c r="AC50" i="5"/>
  <c r="AA50" i="5"/>
  <c r="AB50" i="5" s="1"/>
  <c r="AD50" i="5" s="1"/>
  <c r="R49" i="5"/>
  <c r="Q49" i="5"/>
  <c r="AC48" i="5"/>
  <c r="AA48" i="5"/>
  <c r="AB48" i="5" s="1"/>
  <c r="AD48" i="5" s="1"/>
  <c r="AC47" i="5"/>
  <c r="AA47" i="5"/>
  <c r="AB47" i="5" s="1"/>
  <c r="AD47" i="5" s="1"/>
  <c r="AC46" i="5"/>
  <c r="R46" i="5"/>
  <c r="AA46" i="5" s="1"/>
  <c r="AB46" i="5" s="1"/>
  <c r="R44" i="5"/>
  <c r="R43" i="5" s="1"/>
  <c r="AC42" i="5"/>
  <c r="R42" i="5"/>
  <c r="Q40" i="5"/>
  <c r="AC39" i="5"/>
  <c r="R39" i="5"/>
  <c r="AA39" i="5" s="1"/>
  <c r="AB39" i="5" s="1"/>
  <c r="AC36" i="5"/>
  <c r="R36" i="5"/>
  <c r="AA36" i="5" s="1"/>
  <c r="AB36" i="5" s="1"/>
  <c r="Q34" i="5"/>
  <c r="Q33" i="5" s="1"/>
  <c r="AC30" i="5"/>
  <c r="AA30" i="5"/>
  <c r="AB30" i="5" s="1"/>
  <c r="AD30" i="5" s="1"/>
  <c r="AC29" i="5"/>
  <c r="R29" i="5"/>
  <c r="AA29" i="5" s="1"/>
  <c r="AB29" i="5" s="1"/>
  <c r="Q27" i="5"/>
  <c r="Q26" i="5"/>
  <c r="Q25" i="5" s="1"/>
  <c r="Q24" i="5" s="1"/>
  <c r="AC18" i="5"/>
  <c r="AB18" i="5"/>
  <c r="AD18" i="5" s="1"/>
  <c r="AA18" i="5"/>
  <c r="R17" i="5"/>
  <c r="R16" i="5" s="1"/>
  <c r="Q16" i="5"/>
  <c r="AC15" i="5"/>
  <c r="AB15" i="5"/>
  <c r="R15" i="5"/>
  <c r="R14" i="5" s="1"/>
  <c r="AC13" i="5"/>
  <c r="AA13" i="5"/>
  <c r="AB13" i="5" s="1"/>
  <c r="AD13" i="5" s="1"/>
  <c r="R12" i="5"/>
  <c r="Q11" i="5"/>
  <c r="R218" i="8" l="1"/>
  <c r="R217" i="8" s="1"/>
  <c r="R198" i="8"/>
  <c r="R193" i="8" s="1"/>
  <c r="Q229" i="5"/>
  <c r="R179" i="5"/>
  <c r="R178" i="5" s="1"/>
  <c r="R122" i="5"/>
  <c r="R121" i="5" s="1"/>
  <c r="R170" i="5"/>
  <c r="R113" i="5"/>
  <c r="R60" i="5"/>
  <c r="Q241" i="5"/>
  <c r="Q240" i="5" s="1"/>
  <c r="R11" i="5"/>
  <c r="R10" i="5" s="1"/>
  <c r="R102" i="5"/>
  <c r="R134" i="5"/>
  <c r="R142" i="5"/>
  <c r="R141" i="5" s="1"/>
  <c r="R133" i="5" s="1"/>
  <c r="R311" i="5"/>
  <c r="R125" i="8"/>
  <c r="R124" i="8" s="1"/>
  <c r="Q78" i="8"/>
  <c r="R80" i="5"/>
  <c r="R73" i="5" s="1"/>
  <c r="R280" i="5"/>
  <c r="R279" i="5" s="1"/>
  <c r="R278" i="5" s="1"/>
  <c r="R269" i="5" s="1"/>
  <c r="Q10" i="5"/>
  <c r="Q9" i="5" s="1"/>
  <c r="Q8" i="5" s="1"/>
  <c r="AA42" i="5"/>
  <c r="AB42" i="5" s="1"/>
  <c r="AD42" i="5" s="1"/>
  <c r="Q52" i="5"/>
  <c r="R128" i="5"/>
  <c r="R127" i="5" s="1"/>
  <c r="R126" i="5" s="1"/>
  <c r="R125" i="5" s="1"/>
  <c r="R304" i="5"/>
  <c r="R303" i="5" s="1"/>
  <c r="AH217" i="8"/>
  <c r="V193" i="8"/>
  <c r="AH193" i="8" s="1"/>
  <c r="AH98" i="8"/>
  <c r="AC97" i="8"/>
  <c r="AC29" i="8" s="1"/>
  <c r="AB192" i="8"/>
  <c r="AB191" i="8" s="1"/>
  <c r="AD192" i="8"/>
  <c r="AD191" i="8" s="1"/>
  <c r="AE192" i="8"/>
  <c r="AE191" i="8" s="1"/>
  <c r="Q133" i="5"/>
  <c r="Q278" i="5"/>
  <c r="Q269" i="5" s="1"/>
  <c r="Q37" i="5"/>
  <c r="Q85" i="5"/>
  <c r="Q191" i="5"/>
  <c r="Q219" i="5"/>
  <c r="R242" i="5"/>
  <c r="R241" i="5" s="1"/>
  <c r="R240" i="5" s="1"/>
  <c r="AB248" i="5"/>
  <c r="AD248" i="5" s="1"/>
  <c r="R292" i="5"/>
  <c r="R288" i="5" s="1"/>
  <c r="AB341" i="5"/>
  <c r="AD341" i="5" s="1"/>
  <c r="R67" i="8"/>
  <c r="R78" i="8"/>
  <c r="Q47" i="8"/>
  <c r="Z192" i="8"/>
  <c r="Z191" i="8" s="1"/>
  <c r="R9" i="8"/>
  <c r="R8" i="8" s="1"/>
  <c r="AF192" i="8"/>
  <c r="AF191" i="8" s="1"/>
  <c r="Q272" i="8"/>
  <c r="V272" i="8"/>
  <c r="AH272" i="8" s="1"/>
  <c r="AC192" i="8"/>
  <c r="AC191" i="8" s="1"/>
  <c r="Y192" i="8"/>
  <c r="Y191" i="8" s="1"/>
  <c r="V118" i="8"/>
  <c r="V97" i="8" s="1"/>
  <c r="R85" i="5"/>
  <c r="AC130" i="5"/>
  <c r="AD15" i="5"/>
  <c r="AA88" i="5"/>
  <c r="AB88" i="5" s="1"/>
  <c r="AD88" i="5" s="1"/>
  <c r="AD117" i="5"/>
  <c r="AD190" i="5"/>
  <c r="R193" i="5"/>
  <c r="R192" i="5" s="1"/>
  <c r="AA194" i="5"/>
  <c r="AB194" i="5" s="1"/>
  <c r="AD194" i="5" s="1"/>
  <c r="AA259" i="5"/>
  <c r="AB259" i="5" s="1"/>
  <c r="AD259" i="5" s="1"/>
  <c r="Q288" i="5"/>
  <c r="AC299" i="5"/>
  <c r="R300" i="5"/>
  <c r="R297" i="5" s="1"/>
  <c r="AA301" i="5"/>
  <c r="AB301" i="5" s="1"/>
  <c r="AD301" i="5" s="1"/>
  <c r="R320" i="5"/>
  <c r="R319" i="5" s="1"/>
  <c r="R318" i="5" s="1"/>
  <c r="R317" i="5" s="1"/>
  <c r="R316" i="5" s="1"/>
  <c r="AA323" i="5"/>
  <c r="AB323" i="5" s="1"/>
  <c r="AD323" i="5" s="1"/>
  <c r="AC341" i="5"/>
  <c r="V30" i="8"/>
  <c r="AH30" i="8" s="1"/>
  <c r="AH47" i="8"/>
  <c r="V287" i="8"/>
  <c r="AH288" i="8"/>
  <c r="V24" i="8"/>
  <c r="AH25" i="8"/>
  <c r="AH194" i="8"/>
  <c r="AH241" i="8"/>
  <c r="V240" i="8"/>
  <c r="AH240" i="8" s="1"/>
  <c r="AH250" i="8"/>
  <c r="V249" i="8"/>
  <c r="V111" i="8"/>
  <c r="AH112" i="8"/>
  <c r="W29" i="8"/>
  <c r="W7" i="8" s="1"/>
  <c r="AD81" i="5"/>
  <c r="AD29" i="5"/>
  <c r="AD36" i="5"/>
  <c r="AD39" i="5"/>
  <c r="AD46" i="5"/>
  <c r="AD56" i="5"/>
  <c r="AD67" i="5"/>
  <c r="AD70" i="5"/>
  <c r="AD72" i="5"/>
  <c r="R28" i="5"/>
  <c r="R27" i="5" s="1"/>
  <c r="R26" i="5" s="1"/>
  <c r="R25" i="5" s="1"/>
  <c r="R24" i="5" s="1"/>
  <c r="R35" i="5"/>
  <c r="R34" i="5" s="1"/>
  <c r="R33" i="5" s="1"/>
  <c r="R38" i="5"/>
  <c r="R41" i="5"/>
  <c r="R40" i="5" s="1"/>
  <c r="R45" i="5"/>
  <c r="R54" i="5"/>
  <c r="R53" i="5" s="1"/>
  <c r="R66" i="5"/>
  <c r="R65" i="5" s="1"/>
  <c r="R69" i="5"/>
  <c r="R71" i="5"/>
  <c r="AD123" i="5"/>
  <c r="AD124" i="5"/>
  <c r="AA172" i="5"/>
  <c r="AB172" i="5" s="1"/>
  <c r="AD172" i="5" s="1"/>
  <c r="AC172" i="5"/>
  <c r="AB130" i="5"/>
  <c r="AD130" i="5" s="1"/>
  <c r="AD249" i="5"/>
  <c r="R260" i="5"/>
  <c r="AD284" i="5"/>
  <c r="R204" i="5"/>
  <c r="R203" i="5" s="1"/>
  <c r="AA205" i="5"/>
  <c r="AB205" i="5" s="1"/>
  <c r="AD205" i="5" s="1"/>
  <c r="R224" i="5"/>
  <c r="R223" i="5" s="1"/>
  <c r="AA225" i="5"/>
  <c r="AB225" i="5" s="1"/>
  <c r="AD225" i="5" s="1"/>
  <c r="R227" i="5"/>
  <c r="R226" i="5" s="1"/>
  <c r="AA228" i="5"/>
  <c r="AB228" i="5" s="1"/>
  <c r="AD228" i="5" s="1"/>
  <c r="R237" i="5"/>
  <c r="R236" i="5" s="1"/>
  <c r="R229" i="5" s="1"/>
  <c r="AA238" i="5"/>
  <c r="AB238" i="5" s="1"/>
  <c r="AD238" i="5" s="1"/>
  <c r="AC248" i="5"/>
  <c r="AA299" i="5"/>
  <c r="AB299" i="5" s="1"/>
  <c r="AD299" i="5" s="1"/>
  <c r="W192" i="8"/>
  <c r="W191" i="8" s="1"/>
  <c r="AB29" i="8"/>
  <c r="AB7" i="8" s="1"/>
  <c r="X192" i="8"/>
  <c r="X191" i="8" s="1"/>
  <c r="Z29" i="8"/>
  <c r="Z7" i="8" s="1"/>
  <c r="AE29" i="8"/>
  <c r="AE7" i="8" s="1"/>
  <c r="AA29" i="8"/>
  <c r="AA7" i="8" s="1"/>
  <c r="Y29" i="8"/>
  <c r="Y7" i="8" s="1"/>
  <c r="X29" i="8"/>
  <c r="X7" i="8" s="1"/>
  <c r="AD29" i="8"/>
  <c r="AD7" i="8" s="1"/>
  <c r="AF29" i="8"/>
  <c r="AF7" i="8" s="1"/>
  <c r="Q10" i="8"/>
  <c r="Q9" i="8" s="1"/>
  <c r="Q8" i="8" s="1"/>
  <c r="Q249" i="8"/>
  <c r="Q216" i="8" s="1"/>
  <c r="R281" i="8"/>
  <c r="Q198" i="8"/>
  <c r="Q193" i="8" s="1"/>
  <c r="R62" i="8"/>
  <c r="R267" i="8"/>
  <c r="R36" i="8"/>
  <c r="R35" i="8" s="1"/>
  <c r="R48" i="8"/>
  <c r="Q118" i="8"/>
  <c r="R151" i="8"/>
  <c r="R98" i="8"/>
  <c r="R174" i="8"/>
  <c r="R54" i="8"/>
  <c r="R113" i="8"/>
  <c r="R112" i="8" s="1"/>
  <c r="R111" i="8" s="1"/>
  <c r="R110" i="8" s="1"/>
  <c r="Q174" i="8"/>
  <c r="R254" i="8"/>
  <c r="R249" i="8" s="1"/>
  <c r="R240" i="8" s="1"/>
  <c r="R274" i="8"/>
  <c r="R273" i="8" s="1"/>
  <c r="R288" i="8"/>
  <c r="R287" i="8" s="1"/>
  <c r="R286" i="8" l="1"/>
  <c r="Q214" i="5"/>
  <c r="Q239" i="5"/>
  <c r="Q213" i="5" s="1"/>
  <c r="Q212" i="5" s="1"/>
  <c r="R302" i="5"/>
  <c r="R9" i="5"/>
  <c r="R8" i="5" s="1"/>
  <c r="R191" i="5"/>
  <c r="R108" i="5" s="1"/>
  <c r="Q32" i="5"/>
  <c r="V216" i="8"/>
  <c r="Q97" i="8"/>
  <c r="R216" i="8"/>
  <c r="R192" i="8" s="1"/>
  <c r="R239" i="5"/>
  <c r="Q108" i="5"/>
  <c r="U8" i="8"/>
  <c r="AH118" i="8"/>
  <c r="V29" i="8"/>
  <c r="AH29" i="8" s="1"/>
  <c r="AH97" i="8"/>
  <c r="S269" i="5"/>
  <c r="V110" i="8"/>
  <c r="AH110" i="8" s="1"/>
  <c r="AH111" i="8"/>
  <c r="V23" i="8"/>
  <c r="AH24" i="8"/>
  <c r="V286" i="8"/>
  <c r="AH286" i="8" s="1"/>
  <c r="AH287" i="8"/>
  <c r="AH249" i="8"/>
  <c r="AC7" i="8"/>
  <c r="R37" i="5"/>
  <c r="R219" i="5"/>
  <c r="R214" i="5" s="1"/>
  <c r="R68" i="5"/>
  <c r="R52" i="5" s="1"/>
  <c r="R272" i="8"/>
  <c r="U193" i="8"/>
  <c r="Q30" i="8"/>
  <c r="R47" i="8"/>
  <c r="R30" i="8" s="1"/>
  <c r="R118" i="8"/>
  <c r="R97" i="8" s="1"/>
  <c r="R213" i="5" l="1"/>
  <c r="R212" i="5" s="1"/>
  <c r="Q31" i="5"/>
  <c r="Q7" i="5" s="1"/>
  <c r="R32" i="5"/>
  <c r="R31" i="5" s="1"/>
  <c r="R7" i="5" s="1"/>
  <c r="Q29" i="8"/>
  <c r="Q7" i="8" s="1"/>
  <c r="R191" i="8"/>
  <c r="U216" i="8"/>
  <c r="AH216" i="8"/>
  <c r="V192" i="8"/>
  <c r="AH23" i="8"/>
  <c r="V9" i="8"/>
  <c r="AH9" i="8" s="1"/>
  <c r="R29" i="8"/>
  <c r="Q192" i="8"/>
  <c r="P7" i="5" l="1"/>
  <c r="O7" i="5" s="1"/>
  <c r="V8" i="8"/>
  <c r="V191" i="8"/>
  <c r="AH191" i="8" s="1"/>
  <c r="AH192" i="8"/>
  <c r="R7" i="8"/>
  <c r="U29" i="8"/>
  <c r="Q191" i="8"/>
  <c r="U7" i="8" l="1"/>
  <c r="R322" i="8"/>
  <c r="AH8" i="8"/>
  <c r="V7" i="8"/>
  <c r="AH7" i="8" s="1"/>
</calcChain>
</file>

<file path=xl/comments1.xml><?xml version="1.0" encoding="utf-8"?>
<comments xmlns="http://schemas.openxmlformats.org/spreadsheetml/2006/main">
  <authors>
    <author>Jairo Adriano Arteaga Velasquez</author>
    <author>Juan Buitrago</author>
    <author>Angie Dayana Hernandez Lobaton</author>
  </authors>
  <commentList>
    <comment ref="K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Consulte este código del elemento a adquirir en la página web de "Colombia Compra Eficiente".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Diligencie la fecha cuando se publicará en la pagina del SECOP, dia-mes-año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diligencie el tiempo de duración del contrato en meses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Esta columna la diligencia  Contratos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Esta columna son los techos de presupuesto, no se diligencia ni se modifica.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Indique SI o NO requiere de vigencias futuras</t>
        </r>
      </text>
    </comment>
    <comment ref="T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Si el elemento a contratar requiere de vigencias futuras del 2020, se ingresa el valor total del contrato</t>
        </r>
      </text>
    </comment>
    <comment ref="R13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crea item 
se recibe tralado por un valor de $110.000.000 del item suministro e instalacion de estuas y calentadores a gas para las viviendas iscales (mediante oicio 284 del 2020-05-06)</t>
        </r>
      </text>
    </comment>
    <comment ref="R15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reliza traslado al item adqusicion de maquinaria y herramienta para el ICFE por un valor de $110.000.000  (mediante oicio 284 del 2020-05-06)</t>
        </r>
      </text>
    </comment>
    <comment ref="R36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realiza traslado zl:
rubro A-02-02-01-003-005 otros productos quimicos; ibras artiiciales ( o ibras industriales hechas por el hombre)
item: SUMINISTRO DE PRODUCTOS DE ASEO Y DE CAFETERÍA PARA EL ICFE (1 de 9)
valor: $ 865.326,84 mediante oicio 1373 del 13 de abril de 2020</t>
        </r>
      </text>
    </comment>
    <comment ref="R39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realiza traslado zl:
rubro A-02-02-01-003-005 otros productos quimicos; ibras artiiciales ( o ibras industriales hechas por el hombre)
item: SUMINISTRO DE PRODUCTOS DE ASEO Y DE CAFETERÍA PARA EL ICFE (2 de 9)
valor: $ 11.479,21 mediante oicio 1373 del 13 de abril de 2020</t>
        </r>
      </text>
    </comment>
    <comment ref="R42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realiza traslado zl:
rubro A-02-02-01-003-005 otros productos quimicos; ibras artiiciales ( o ibras industriales hechas por el hombre)
item: SUMINISTRO DE PRODUCTOS DE ASEO Y DE CAFETERÍA PARA EL ICFE (3 de 9)
valor: $ 227.199,58 mediante oicio 1373 del 13 de abril de 2020</t>
        </r>
      </text>
    </comment>
    <comment ref="R46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(5 de 9)
valor: $ 1.023.133,30 mediante oicio 1373 del 13 de abril de 2020</t>
        </r>
      </text>
    </comment>
    <comment ref="R56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(6 de 9)
valor: $ 1.296.954,89 mediante oicio 1373 del 13 de abril de 2020</t>
        </r>
      </text>
    </comment>
    <comment ref="R67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( 7 de 9)
valor: $ 1.692.48,45 mediante oicio 1373 del 13 de abril de 2020</t>
        </r>
      </text>
    </comment>
    <comment ref="R70" authorId="1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recibe traslado:
rubro: A-02-02-01-000-001 PRODUCTOS DE LA AGRICULTURA Y LA HORTICULTURA
item: SUMINISTRO DE PRODUCTOS DE ASEO Y DE CAFETERÍA PARA EL ICFE (1 de 9)
valor: $865.326,84
rubro: A-02-02-01-002-002   PRODUCTOS LÁCTEOS Y OVOPRODUCTOS
item: SUMINISTRO DE PRODUCTOS DE ASEO Y DE CAFETERÍA PARA EL ICFE (2 de 9) 
 valor: 11.479,21
rubro: A-02-02-01-002-003 PRODUCTOS DE MOLINERÍA, ALMIDONES Y PRODUCTOS DERIVADOS DEL ALMIDÓN; OTROS PRODUCTOS ALIMENTICIOS
item:  SUMINISTRO DE PRODUCTOS DE ASEO Y DE CAFETERÍA PARA EL ICFE (3 de 9) 
valor: $227.199,58
rubro: A-02-02-01-002-007  ARTÍCULOS TEXTILES (EXCEPTO PRENDAS DE VESTIR)
item:  SUMINISTRO DE PRODUCTOS DE ASEO Y DE CAFETERÍA PARA EL ICFE (5 de 9) 
valor: $1.023.133,30
rubro:  A-02-02-01-003-002 PASTA O PULPA, PAPEL Y PRODUCTOS DE PAPEL; IMPRESOS Y ARTÍCULOS RELACIONADOS
item:  SUMINISTRO DE PRODUCTOS DE ASEO Y DE CAFETERÍA PARA EL ICFE (6 de 9)
valor: $1.296.954,89
rubro: A-02-02-01-003-004 QUÍMICOS BÁSICOS
item: SUMINISTRO DE PRODUCTOS DE ASEO Y DE CAFETERÍA PARA EL ICFE (7 de 9) 
valor: $1.692.948,45
rubro: A-02-02-01-003-005 OTROS PRODUCTOS QUÍMICOS; FIBRAS ARTIFICIALES (O FIBRAS INDUSTRIALES HECHAS POR EL HOMBRE)
item: SUMINISTRO DE PRODUCTOS DE ASEO Y DE CAFETERÍA PARA EL ICFE (8 de 9) 
valor: $11.775.341,39
rubro: A-02-02-01-003-006 PRODUCTOS DE CAUCHO Y PLASTICO
item: SUMINISTRO DE PRODUCTOS DE ASEO Y DE CAFETERÍA PARA EL ICFE (9 de 9) 
valor: $ 6.107.616,34
 mediante oicio 1373 del 13 de abril de 2020
</t>
        </r>
      </text>
    </comment>
    <comment ref="R72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(8 de 9)
valor: $ 11.775.341,39 mediante oicio 1373 del 13 de abril de 2020</t>
        </r>
      </text>
    </comment>
    <comment ref="R81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zl:
rubro A-02-02-01-003-005 otros productos quimicos; ibras artiiciales ( o ibras industriales hechas por el hombre)
item: SUMINISTRO DE PRODUCTOS DE ASEO Y DE CAFETERÍA PARA EL ICFE (9 de 9)
valor: $ 6.107.616,34 mediante oicio 1373 del 13 de abril de 2020</t>
        </r>
      </text>
    </comment>
    <comment ref="S139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La contratación se hará para 24 meses, con vigencias futuras del 2020 para los 12 meses por valor de $261 millones, y del 2021 para 4 meses por valor de $90 millones, para un total del contrato de $519 millones.</t>
        </r>
      </text>
    </comment>
    <comment ref="R187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 
se crea item mediante oficio 1419 del 16 de abril del 2020 
se recibe traslado del:
rubro: A- 02-02-02-009-002
item:Prestacion de servicios de capacitacion para el personal empleados publicos y trabajadores oiciales del ICFE
oficio1419 de abril del 2020
</t>
        </r>
      </text>
    </comment>
    <comment ref="R194" authorId="1" shapeId="0">
      <text>
        <r>
          <rPr>
            <b/>
            <sz val="9"/>
            <color indexed="81"/>
            <rFont val="Tahoma"/>
            <family val="2"/>
          </rPr>
          <t>Angie Dayana Hernndez:</t>
        </r>
        <r>
          <rPr>
            <sz val="9"/>
            <color indexed="81"/>
            <rFont val="Tahoma"/>
            <family val="2"/>
          </rPr>
          <t xml:space="preserve">
se realiza traslado al:
rubro: A-02-02-02-008-007
item: mantenimient preventivo y correctivo a todo costo de los cuartos de maqinas y las motobombas de las vivienda ficales  nivel nacional
oficio: 1419 del 16 de abril del 2020
</t>
        </r>
      </text>
    </comment>
    <comment ref="R222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 Lobaton:
</t>
        </r>
        <r>
          <rPr>
            <sz val="9"/>
            <color indexed="81"/>
            <rFont val="Tahoma"/>
            <family val="2"/>
          </rPr>
          <t xml:space="preserve">
SE RECIBE TRASLADO DE
RUBRO: A-05-01-01-004-004 MAQUINARIA PARA USOS ESPECIALES 
ITEM: ADQUISICION DE MAQUINARIA Y HERRAMIENTA PARA EL ICFE
VALOR: $20.000.000
OFICIO 0542 DEL 04 DE FEBRERO DE 2020</t>
        </r>
      </text>
    </comment>
    <comment ref="R225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A
RUBRO: A-05-01-01-003-007 VIDRIO Y PRODUCTOS DE VIDIRIO Y OTROS PRODUCTOS NO METALICOS N.C.P
ITEM: SUMINISTRO E INSTALACION DE VIDRIOS CRUDOS, TEMPLADOS Y CARPINTERIA EN ALUMINIO PARA LAS VIVIENDAS FISCALES 
VALOR: $4.000.000
OFICIO 0255 DEL 20 DE ENERO DEL 2020</t>
        </r>
      </text>
    </comment>
    <comment ref="R228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AL
RUBRO: A-05-01-01-003-003 PRODUCTOS DE HORNOS DE COQUE; PRODUCTOS DE REFINANCION DE PETROLIO
ITEM: SUMINISTRO DE COMBUSTIBLE PARA PLANTAS ELECTRICAS, GUADAÑAS Y MAQUINARIA PARA EL MANTENIMIENTO DE LAS VIVIENDAS FISCALES EN BOGOTA
VALOR: $ 4.000.000
OFICIO 0255 DEL 20 DE ENERO DEL 2020</t>
        </r>
      </text>
    </comment>
    <comment ref="R235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
VALOR: $130.000.000
RUBRO: A-05-01-01-004-004
ITEM: ADQUSIICION DE MAQUINARIA Y HERRAMIENETAS PARA EL ICFE
OFICIO 0173 20 DE ENERO 2020</t>
        </r>
      </text>
    </comment>
    <comment ref="R238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AL
RUBRO: A-05-01-01-004-003
ITEM: SUMINISTRO E INSTALACION DE ESTUFAS Y CALENTADORES A GAS PARA LAS VIVIENDAS FISCALES
VALOR: $130.000.000
OFICIO 0173 DEL 20 DE ENERO DEL 2020
SE REALIZA TRASLADO AL
RUBRO: A-05-01-01-003-002PASTA O PULPA, PAPEL Y PRODUCTOS DE PAPEL; IMPRESOSO Y ARTICULOS RELACIONADOS 
ITEM: SUMINISTRO DE ELEMENTOS DE PAPELERIA, UTILES DE ESCRITORIO Y OFICICNA (INCLUYR ELEMENTO DE ARCHIVVO), PARA LAS SECCIONALES A NIVEL NACIONAL
VALOR: $20.000.000
OFICIO 0542 DEL 04 DE FEBRERO DE 2020</t>
        </r>
      </text>
    </comment>
    <comment ref="R248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se recibe traslado:
rubro:A-05-01-02-005-004 Servicios de construcción
item:MANTENIMIENTO PREVENTIVO Y CORRECTIVO A TODO COSTO DE LOS CUARTOS DE MAQUINAS Y LAS MOTOBOMBAS DE LAS VIVIENDAS FISCALES A NIVEL NACIONAL (Para tramitar vigencias futuras del 2021)
valor: $125.600.000
oficio: 285 del 06-05-2020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9" authorId="1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 xml:space="preserve">se realiza el traslado:
rubro:A-05-01-02-005-004
Servicios de construcción
item:MANTENIMIENTO PREVENTIVO Y CORRECTIVO A TODO COSTO DE LOS CUARTOS DE MAQUINAS Y LAS MOTOBOMBAS DE LAS VIVIENDAS FISCALES A NIVEL NACIONAL (Presupuesto comprometido con vigencias fururas desde 2019)
valor: $125.600.000
oficio: 285 del 06-05-2020
</t>
        </r>
      </text>
    </comment>
    <comment ref="R264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 Lobaton:
</t>
        </r>
        <r>
          <rPr>
            <sz val="9"/>
            <color indexed="81"/>
            <rFont val="Tahoma"/>
            <family val="2"/>
          </rPr>
          <t>SE CREA ITEM MEDIANTE OFICIO 0280 DEL 23 DE ENERO DEL 2020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SE RECIBE TRASLADO DEL
RUBRO: A-05-01-02-008-007 SERVICIOS DE MANTENIEMEINTO, REPARACION E INSTALACION (EXEPTO SERVISIO DE CONSTRUCCION)
ITEM: LAVADO Y DESINFECCION DE TANQUES DE AGUA POTABLE DE LAS VIVIENDAS FISCALES DE BOGOTA
VALOR: $ 42.000.000
OFICIO 0280 DEL 23 DE ENERO DE 2020</t>
        </r>
      </text>
    </comment>
    <comment ref="R284" authorId="2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
VALOR: $42.000.000
RUBRO: A-05-01-02-007-001 SERVICIO FINANCIEROS Y SERICIOS CONEXOS
ITEM: PAGO ARL PARA PRESTADORES DE SERVICIOS RIESGO 5: TECNICOS, PINTORES Y OFICIALES DE CONSTRUCCION. 
OFICIO 0280 DEL 23 DE ENERO DEL 2020</t>
        </r>
      </text>
    </comment>
  </commentList>
</comments>
</file>

<file path=xl/comments2.xml><?xml version="1.0" encoding="utf-8"?>
<comments xmlns="http://schemas.openxmlformats.org/spreadsheetml/2006/main">
  <authors>
    <author>Jairo Adriano Arteaga Velasquez</author>
    <author>Olga Milena González Gómez</author>
    <author>Ire</author>
    <author>Angie Dayana Hernandez Lobaton</author>
    <author>Jairzinho Barco Correa</author>
    <author>PERSONAL</author>
  </authors>
  <commentList>
    <comment ref="K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Consulte este código del elemento a adquirir en la página web de "Colombia Compra Eficiente".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Diligencie la fecha cuando se publicará en la pagina del SECOP, dia-mes-año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diligencie el tiempo de duración del contrato en meses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Esta columna la diligencia  Contratos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Esta columna son los techos de presupuesto, no se diligencia ni se modifica.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Indique SI o NO requiere de vigencias futuras</t>
        </r>
      </text>
    </comment>
    <comment ref="T6" authorId="0" shapeId="0">
      <text>
        <r>
          <rPr>
            <b/>
            <sz val="9"/>
            <color indexed="81"/>
            <rFont val="Tahoma"/>
            <family val="2"/>
          </rPr>
          <t>Jairo Adriano Arteaga Velasquez:</t>
        </r>
        <r>
          <rPr>
            <sz val="9"/>
            <color indexed="81"/>
            <rFont val="Tahoma"/>
            <family val="2"/>
          </rPr>
          <t xml:space="preserve">
Si el elemento a contratar requiere de vigencias futuras del 2020, se ingresa el valor total del contrato</t>
        </r>
      </text>
    </comment>
    <comment ref="R22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trasladan $28.215.000  a rubro A-02-01-01-004-02</t>
        </r>
      </text>
    </comment>
    <comment ref="R28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realiza traslado a  nuevo ítem: Adquisición Elementos de control de humedad y temperatura para el archivo central del ICFE. Valor: $5,000,000. Ificio ID: 23782. y se traladan $2,892,461 al rubro A-02-01
01-004</t>
        </r>
      </text>
    </comment>
    <comment ref="R45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realiza reducción por valor de 10.000.000 para el rubro de viaticos según ID:26210</t>
        </r>
      </text>
    </comment>
    <comment ref="P50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realiza cambio de modalidad de contratación según oficio radicado: I-2021-01421</t>
        </r>
      </text>
    </comment>
    <comment ref="R50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$20.000.000 dos</t>
        </r>
      </text>
    </comment>
    <comment ref="R69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 xml:space="preserve">se realiza traslado $2.200.000
</t>
        </r>
      </text>
    </comment>
    <comment ref="R100" authorId="2" shapeId="0">
      <text>
        <r>
          <rPr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Tahoma"/>
            <family val="2"/>
          </rPr>
          <t xml:space="preserve">Angie Dayana Hernandez: </t>
        </r>
        <r>
          <rPr>
            <sz val="9"/>
            <color indexed="81"/>
            <rFont val="Tahoma"/>
            <family val="2"/>
          </rPr>
          <t xml:space="preserve">
se realiza traslado $20.000.000</t>
        </r>
      </text>
    </comment>
    <comment ref="R108" authorId="2" shapeId="0">
      <text>
        <r>
          <rPr>
            <b/>
            <sz val="9"/>
            <color indexed="81"/>
            <rFont val="Tahoma"/>
            <family val="2"/>
          </rPr>
          <t>Angie Dayana Hernandez:</t>
        </r>
        <r>
          <rPr>
            <sz val="9"/>
            <color indexed="81"/>
            <rFont val="Tahoma"/>
            <family val="2"/>
          </rPr>
          <t xml:space="preserve">
Se recibe traslado $128.000.000</t>
        </r>
      </text>
    </comment>
    <comment ref="L121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 Se realiza traslado de $5,500,000 para rubro de administrador financiero-Economista. Acta 22062021. ID 19105</t>
        </r>
      </text>
    </comment>
    <comment ref="R121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 Se realiza traslado por $5,500,000 a prestación de Servicios Administrador Financiero-Economista con Acta ID: 19105
</t>
        </r>
      </text>
    </comment>
    <comment ref="R122" authorId="2" shapeId="0">
      <text>
        <r>
          <rPr>
            <b/>
            <sz val="9"/>
            <color indexed="81"/>
            <rFont val="Tahoma"/>
            <family val="2"/>
          </rPr>
          <t xml:space="preserve"> Angie Dayana Hernandez: </t>
        </r>
        <r>
          <rPr>
            <sz val="9"/>
            <color indexed="81"/>
            <rFont val="Tahoma"/>
            <family val="2"/>
          </rPr>
          <t xml:space="preserve">
se realiza traslado $9.800.000 dos
Se recibe traslado por valor de  $2.870.000
Rubro A-02-02-02-008-002 DE SERVICIOS JURÍDICOS Y CONTABLES
Item: SERVICIOS JURIDICOS DE UN ABOGADA PARA ASISITIR A LOS COMITÉS,
EN LA PRESENTACION DE INFORMES DE LEY Y EN CONCEPTOS
INHERENTES A CONTROL INTERNO
Radicado I-2021-04414 Id: 28018</t>
        </r>
      </text>
    </comment>
    <comment ref="R123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tarslado por valor de : $8,700,000
rubro: A-02-02-02-010 VIÁTICOS DE LOS
FUNCIONARIOS EN COMISIÓN
Item: VIÁTICOS DE LOS FUNCIONARIOS EN
COMISIÓN
oficio: I-2021-04285 Id: 27071
Se realiza traslado por valor de  $2.870.000
Rubro A-02-02-02-008-002 DE SERVICIOS JURÍDICOS Y CONTABLES
Item: APOYO Y ASESORÍA EN EL TRÁMITE DE DEBIDOS PROCESOS ADMINISTRATIVOS
SANCIONATORIOS DE USUARIOS DE VIVIENDA FISCAL Y EN RESPUESTA
A SOLICITUDES Y DERECHOS DE PETICIÓN DE LA ADMINISTRACIÓN DE
VIVIENDAS.
Radicado I-2021-04414 Id: 28018</t>
        </r>
      </text>
    </comment>
    <comment ref="R127" authorId="1" shapeId="0">
      <text>
        <r>
          <rPr>
            <b/>
            <sz val="9"/>
            <color indexed="81"/>
            <rFont val="Tahoma"/>
            <family val="2"/>
          </rPr>
          <t>Olga Milena González Gómez: Se recibe traslado por valor de $25.960.000 según acta ID 19105</t>
        </r>
        <r>
          <rPr>
            <sz val="9"/>
            <color indexed="81"/>
            <rFont val="Tahoma"/>
            <family val="2"/>
          </rPr>
          <t xml:space="preserve">
se realiza traslado 
valor $3.000.000
 rubro A-02-02-02-008-007 OTROS SERVICIOS PROFESIONALES, CIENTÍFICOS
Y TÉCNICOS
ítem: SERVICIO DE AUDITORIA EXTERNA AL SGC Y SGA
Por valor de $3.000.000
oficio: 2021-03027 Id: 23611
Se recibe traslado  por valor de $1.513.333,33
RUBRO:A-02-02-02-008-003  OTROS SERVICIOS PROFESIONALES, CIENTÍFICOS Y TÉCNICOS
Item: PRESTAR CON PLENA AUTONOMIA TÉCNICA Y ADMINISTRATIVA LOS SERVICIOS PROFESIONALES COMO ADMINISTRADOR DE EMPRESAS ESPECIALISTA EN GERENCIA ESTRATÉGICA PARA REALIZAR EL DISEÑO, ELABORACIÓN Y ENTREGA DEL DOCUMENTO FINAL DE LA PLANEACIÓN ESTRATEGICA DEL INSTITUTO DE CASAS FISCALES PARA EL PERIODO 2023-2042
Oficio: I-2021-04397 Id: 27823</t>
        </r>
      </text>
    </comment>
    <comment ref="R128" authorId="1" shapeId="0">
      <text>
        <r>
          <rPr>
            <b/>
            <sz val="9"/>
            <color indexed="81"/>
            <rFont val="Tahoma"/>
            <family val="2"/>
          </rPr>
          <t>Olga Milena González Gómez: Se realiza traslado por valor de $7650000 para el rubro Prestación Servicios Profesional Adm. Financiero-Economista ID: 19105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0" authorId="4" shapeId="0">
      <text>
        <r>
          <rPr>
            <b/>
            <sz val="9"/>
            <color indexed="81"/>
            <rFont val="Tahoma"/>
            <family val="2"/>
          </rPr>
          <t>ERIKA: se trasladan $40.000.000 al PROFESIONAL EN CIENCIAS DE LA INFORMACIÓN CON ESPECIALIZACIÓN PARA ELABORACIÓN DE PROGRAMA DE CONSERVACIÓN DOCUMENTAL Y DIGITAL - PROGRAMA DE SANEAMIENTO AMBIENTAL DOCUMENTAL PRESTACION DE SERVICIOS PARA LA ELABORACIÓN DE PLANES Y PROGRAMAS DE CONSERVACIÓN DOCUMENTAL (SIC) DEL ICFE. 2, Se realiza traslado por $12.800.000 para PRESTACIÓN DE SERVICIOS PROFESIONALES DE UN ADMINISTRADOR FINANCIERO CON CONOCIMIENTO EN LA ELABORACIÓN DE ESTUDIOS DEL SECTOR Y ESTUDIOS DE MERCADO PARA LOS PROCESOS DE CONTRATACIÓN DEL ICFE. Acta ID 19105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1" authorId="1" shapeId="0">
      <text>
        <r>
          <rPr>
            <sz val="9"/>
            <color indexed="81"/>
            <rFont val="Tahoma"/>
            <family val="2"/>
          </rPr>
          <t>Se realiza traslado por $1.500.000  Rubro: A-02-02-02-008-003-01-1 .  ítem: : “PRESTACIÓN DE SERVICIOS
DE UN AUXILIAR ADMINISTRATIVO, PARA APOYO A LA OFICINA DE
ALMACÉN DEL INSTITUTO DE CASAS FISCALES DEL EJÉRCITO”    CON  OFICIO ID:22416
se realiza cambio de item 
Se recibe traslado 
item  PRESTACIÓN DE SERVICIOS PARA LA ELABORACIÓN DE PLANES Y PROGRAMAS DE
CONSERVACIÓN DOCUMENTAL (SIC) DEL INSTITUTO DE CASAS FISCALES DEL EJÉRCITO.
valor $4.500.000
item PRESTACIÓN DE SERVICIOS PARA LA ELABORACIÓN DE PLANES Y PROGRAMAS DE
CONSERVACIÓN DOCUMENTAL (SIC) DEL INSTITUTO DE CASAS FISCALES DEL EJÉRCITO.
valor $4.816.000
oficio 2021-03027 Id: 23611
Se realiza traslado  por valor de $1.513.333,33
RUBRO:A-02-02-02-008-003  OTROS SERVICIOS PROFESIONALES, CIENTÍFICOS Y TÉCNICOS
Item: PRESTACIÓN DE SERVICIOS PROFESIONALES DE UN ADMINISTRADOR FINANCIERO CON CONOCIMIENTO EN LA ELABORACIÓN DE ESTUDIOS DEL SECTOR Y ESTUDIOS DE MERCADO PARA LOS PROCESOS DE CONTRATACIÓN DEL ICFE
Oficio: I-2021-04397 Id: 27823</t>
        </r>
      </text>
    </comment>
    <comment ref="R132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 Se realiza traslado por $10.000 para PRESTACIÓN DE SERVICIOS PROFESIONALES DE UN ADMINISTRADOR FINANCIERO CON CONOCIMIENTO EN LA ELABORACIÓN DE ESTUDIOS DEL SECTOR Y ESTUDIOS DE MERCADO PARA LOS PROCESOS DE CONTRATACIÓN DEL ICFE. Acta ID: 19105
Se realiza tralado 
item PRESTACIÓN DE SERVICIOS PROFESIONALES   DE UN INGENIERO INDUSTRIAL PARA ASESORAR Y REALIZAR EL DISEÑO,  ELABORACIÓN Y ENTREGA DEL DOCUMENTO FINAL DE LA  PLANEACIÓN ESTRATEGICA  DEL ICFE 2023-2042
valor $4.500.000
oficio xxx</t>
        </r>
      </text>
    </comment>
    <comment ref="R133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
A-02-02-02-008-007 OTROS SERVICIOS PROFESIONALES, CIENTÍFICOS
Y TÉCNICOS
Ítem: PRESTACIÓN DE SERVICIOS PROFESIONALES DE UN
INGENIERO INDUSTRIAL PARA ASESORAR Y REALIZAR EL DISEÑO,
ELABORACIÓN Y ENTREGA DEL DOCUMENTO FINAL DE LA
PLANEACIÓN ESTRATEGICA DEL ICFE 2023-2042
Por valor de $4.500.00
oficio -2021-03027 Id: 23611
</t>
        </r>
      </text>
    </comment>
    <comment ref="R134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recibe traslado
item: PRESTACIÓN DE SERVICIOS PROFESIONALES DE UN ADMINISTRADOR FINANCIERO CON CONOCIMIENTO EN LA ELABORACIÓN DE ESTUDIOS DEL SECTOR Y ESTUDIOS DE MERCADO PARA LOS PROCESOS DE CONTRATACIÓN DEL ICFE
valor $3.000.000
oficio: I-2021-03027 Id: 23611</t>
        </r>
      </text>
    </comment>
    <comment ref="L135" authorId="1" shapeId="0">
      <text>
        <r>
          <rPr>
            <b/>
            <sz val="9"/>
            <color indexed="81"/>
            <rFont val="Tahoma"/>
            <family val="2"/>
          </rPr>
          <t>Se cambia nombre de la descripción. Oficio ID: 16116</t>
        </r>
      </text>
    </comment>
    <comment ref="R135" authorId="4" shapeId="0">
      <text>
        <r>
          <rPr>
            <b/>
            <sz val="9"/>
            <color indexed="81"/>
            <rFont val="Tahoma"/>
            <family val="2"/>
          </rPr>
          <t>ERIKA: SE RECIBE TRASLADO DE 40 MILLONES DEL PRESTACIÓN DE SERVICIOS PROFESIONALES DE APOYO A LA GESTIÓN PARA REALIZAR “PARA LA IMPLEMENTACIÓN DEL SISTEMA DE SEGURIDAD Y SALUD EN EL TRABAJO E INTEGRACIÓN CON OTROS SISTEMAS DE GESTIÓN</t>
        </r>
        <r>
          <rPr>
            <sz val="9"/>
            <color indexed="81"/>
            <rFont val="Tahoma"/>
            <family val="2"/>
          </rPr>
          <t xml:space="preserve">
Se realiza tralado 
item PRESTACIÓN DE SERVICIOS PROFESIONALES   DE UN INGENIERO INDUSTRIAL PARA ASESORAR Y REALIZAR EL DISEÑO,  ELABORACIÓN Y ENTREGA DEL DOCUMENTO FINAL DE LA  PLANEACIÓN ESTRATEGICA  DEL ICFE 2023-2042
valor $4.816.000
oficio:  2021-03027 Id: 23611
</t>
        </r>
      </text>
    </comment>
    <comment ref="R136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tarslado por valor de : $6,300,000
rubro: A-02-02-02-010 VIÁTICOS DE LOS
FUNCIONARIOS EN COMISIÓN
Item: VIÁTICOS DE LOS FUNCIONARIOS EN
COMISIÓN
oficio: I-2021-04285 Id: 27071</t>
        </r>
      </text>
    </comment>
    <comment ref="R137" authorId="2" shapeId="0">
      <text>
        <r>
          <rPr>
            <b/>
            <sz val="9"/>
            <color indexed="81"/>
            <rFont val="Tahoma"/>
            <family val="2"/>
          </rPr>
          <t>Angie Dayana Herandez:</t>
        </r>
        <r>
          <rPr>
            <sz val="9"/>
            <color indexed="81"/>
            <rFont val="Tahoma"/>
            <family val="2"/>
          </rPr>
          <t xml:space="preserve">
se realiza traslado $25.300.000
* Se recibe traslado por valor de $1.500.000.
 Rubro: A-02-02-02-008-003-01-1.  “SERVICIOS DE CONSULTORÍA EN ADMINISTRACIÓN Y SERVICIOS DE GESTIÓN 
ítem “PRESTACIÓN DE SERVICIOS PROFESIONALES DE
APOYO A LA GESTIÓN PARA REALIZAR “PARA LA IMPLEMENTACIÓN DEL SISTEMA DE GESTIÓN DE CALIDAD - AMBIENTAL CON OTROS SISTEMAS DE GESTIÓN DEL ICFE” oficio ID: 22416 </t>
        </r>
      </text>
    </comment>
    <comment ref="R141" authorId="1" shapeId="0">
      <text>
        <r>
          <rPr>
            <b/>
            <sz val="9"/>
            <color indexed="81"/>
            <rFont val="Tahoma"/>
            <family val="2"/>
          </rPr>
          <t>Olga Milena González Gómez: Se recibe traslado por $6.740.000 Según acta ID 19105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3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realia traslado $ 5.500.000 dos.
OMGG: Ser ealiza traslado por $6.150.000 para PRESTACIÓN DE SERVICIOS PROFESIONALES DE UN ADMINISTRADOR FINANCIERO CON CONOCIMIENTO EN LA ELABORACIÓN DE ESTUDIOS DEL SECTOR Y ESTUDIOS DE MERCADO PARA LOS PROCESOS DE CONTRATACIÓN DEL ICFE.  con Acta ID: 19105</t>
        </r>
      </text>
    </comment>
    <comment ref="R144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 xml:space="preserve">se realiza traslado $12.100.000 dos
</t>
        </r>
      </text>
    </comment>
    <comment ref="R145" authorId="1" shapeId="0">
      <text>
        <r>
          <rPr>
            <b/>
            <sz val="9"/>
            <color indexed="81"/>
            <rFont val="Tahoma"/>
            <family val="2"/>
          </rPr>
          <t>Olga Milena González Gómez: Se realiza traslado por $111.700 para PRESTACIÓN DE SERVICIOS PROFESIONALES DE UN ADMINISTRADOR FINANCIERO CON CONOCIMIENTO EN LA ELABORACIÓN DE ESTUDIOS DEL SECTOR Y ESTUDIOS DE MERCADO PARA LOS PROCESOS DE CONTRATACIÓN DEL ICFE. ACTA ID: 19105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8" authorId="1" shapeId="0">
      <text>
        <r>
          <rPr>
            <b/>
            <sz val="9"/>
            <color indexed="81"/>
            <rFont val="Tahoma"/>
            <family val="2"/>
          </rPr>
          <t>Olga Milena González Gómez: e realiza traslado por $478.300 para PRESTACIÓN DE SERVICIOS PROFESIONALES DE UN ADMINISTRADOR FINANCIERO CON CONOCIMIENTO EN LA ELABORACIÓN DE ESTUDIOS DEL SECTOR Y ESTUDIOS DE MERCADO PARA LOS PROCESOS DE CONTRATACIÓN DEL ICFE. ACTA ID: 19105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0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realiza traslado $27.500.000</t>
        </r>
      </text>
    </comment>
    <comment ref="R153" authorId="2" shapeId="0">
      <text>
        <r>
          <rPr>
            <b/>
            <sz val="9"/>
            <color indexed="81"/>
            <rFont val="Tahoma"/>
            <family val="2"/>
          </rPr>
          <t xml:space="preserve"> Angie Dayana Hernandez: 
</t>
        </r>
        <r>
          <rPr>
            <sz val="9"/>
            <color indexed="81"/>
            <rFont val="Tahoma"/>
            <family val="2"/>
          </rPr>
          <t xml:space="preserve">se realiza traslado $10.000.000
</t>
        </r>
      </text>
    </comment>
    <comment ref="P162" authorId="5" shapeId="0">
      <text>
        <r>
          <rPr>
            <b/>
            <sz val="9"/>
            <color indexed="81"/>
            <rFont val="Tahoma"/>
            <family val="2"/>
          </rPr>
          <t>PERSONAL:</t>
        </r>
        <r>
          <rPr>
            <sz val="9"/>
            <color indexed="81"/>
            <rFont val="Tahoma"/>
            <family val="2"/>
          </rPr>
          <t xml:space="preserve">
Se cambia nombre de item y modalidad oficio 0868 ID 13699</t>
        </r>
      </text>
    </comment>
    <comment ref="R162" authorId="2" shapeId="0">
      <text>
        <r>
          <rPr>
            <b/>
            <sz val="9"/>
            <color indexed="81"/>
            <rFont val="Tahoma"/>
            <family val="2"/>
          </rPr>
          <t>Angie Dayana Hernandez:
s</t>
        </r>
        <r>
          <rPr>
            <sz val="9"/>
            <color indexed="81"/>
            <rFont val="Tahoma"/>
            <family val="2"/>
          </rPr>
          <t>e realiza traslado $20.000.000 dos</t>
        </r>
      </text>
    </comment>
    <comment ref="R164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por valor de $600.000 del intem inspeccion tecnica y certificacion a sistemas de trasporte vertical (ascensores) de los inmuebles del ICFE OFICIO I-2021-00532 Id: 12699</t>
        </r>
      </text>
    </comment>
    <comment ref="L170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crea item según oficio I-2021-01671 ID: 17376 </t>
        </r>
      </text>
    </comment>
    <comment ref="R170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tralado por valor de $45.500.000
</t>
        </r>
        <r>
          <rPr>
            <b/>
            <sz val="9"/>
            <color indexed="81"/>
            <rFont val="Tahoma"/>
            <family val="2"/>
          </rPr>
          <t xml:space="preserve">rubro: </t>
        </r>
        <r>
          <rPr>
            <sz val="9"/>
            <color indexed="81"/>
            <rFont val="Tahoma"/>
            <family val="2"/>
          </rPr>
          <t xml:space="preserve">A-02-02-02-008-007 SERVICIOS DE MANTENIMIENTO, REPARACION E
INSTALACION
</t>
        </r>
        <r>
          <rPr>
            <b/>
            <sz val="9"/>
            <color indexed="81"/>
            <rFont val="Tahoma"/>
            <family val="2"/>
          </rPr>
          <t>item:</t>
        </r>
        <r>
          <rPr>
            <sz val="9"/>
            <color indexed="81"/>
            <rFont val="Tahoma"/>
            <family val="2"/>
          </rPr>
          <t xml:space="preserve"> SERVICIO DE MANTENIMIENTO CORRECTIVO Y
PREVENTIVO A TODO COSTO DE LOS SISTEMAS
HIDRONEUMATICO, CONTRA INCENDIO Y
VENTILACION MECANICA DEL EDIFICIO DE
TALLERES DEL ICFE
</t>
        </r>
        <r>
          <rPr>
            <b/>
            <sz val="9"/>
            <color indexed="81"/>
            <rFont val="Tahoma"/>
            <family val="2"/>
          </rPr>
          <t>oficio</t>
        </r>
        <r>
          <rPr>
            <sz val="9"/>
            <color indexed="81"/>
            <rFont val="Tahoma"/>
            <family val="2"/>
          </rPr>
          <t>: I -2021-01671 ID 17376</t>
        </r>
      </text>
    </comment>
    <comment ref="R172" authorId="1" shapeId="0">
      <text>
        <r>
          <rPr>
            <b/>
            <sz val="9"/>
            <color indexed="81"/>
            <rFont val="Tahoma"/>
            <family val="2"/>
          </rPr>
          <t>Olga Milena González Gómez: Se unifican items según oficio id: 17376</t>
        </r>
      </text>
    </comment>
    <comment ref="R181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trasladan al rubro A-02-02-02-009-006 ACTIVIDADES DE BIENESTAR, INCENTIVOS Y CLIMA ORGANIZACIONAL PARA LOS FUNCIONARIOS DEL ICFE $700.000</t>
        </r>
      </text>
    </comment>
    <comment ref="R182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>se recibe traslado $20.000.000
Se trasladan al rubro A-02-02-02-009-006 ACTIVIDADES DE BIENESTAR, INCENTIVOS Y CLIMA ORGANIZACIONAL PARA LOS FUNCIONARIOS DEL ICFE $29.300.000</t>
        </r>
      </text>
    </comment>
    <comment ref="R188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recibe traslado $30.000.000</t>
        </r>
      </text>
    </comment>
    <comment ref="R190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tralado por valor de $15,00,000
rubro: A-02-02-02-008-002 SERVICIOS JURÍDICOS Y
CONTABLES
Item : SERVICIOS JURÍDICOS DE UN ABOGADO
PARA ASISTIR A LOS COMITÉS, EN LA
PRESENTACIÓN DE INFORMES DE LEY Y EN
CONCEPTOS INHERENTES A CONTROL
INTERNO
valor: $ 8.700.000
rubro: A-02-02-02-008-003 OTROS SERVICIOS
PROFESIONALES, CIENTÍFICOS Y TÉCNICOS
Item :PROFESIONALES, CIENTÍFICOS Y TÉCNICOS
ELEMENTO: TÉCNICO PARA APOYO A GESTIÓN
DOCUMENTAL EN ORGANIZACIÓN ARCHIVO
CENTRAL - DIGITALIZACIÓN Y ACTIVIDADES
RELACIONADAS
valor:$6300.000
Oficio: I-2021-04285 Id: 27071
</t>
        </r>
      </text>
    </comment>
    <comment ref="P201" authorId="1" shapeId="0">
      <text>
        <r>
          <rPr>
            <b/>
            <sz val="9"/>
            <color indexed="81"/>
            <rFont val="Tahoma"/>
            <family val="2"/>
          </rPr>
          <t xml:space="preserve">Olga Milena González Gómez:
</t>
        </r>
        <r>
          <rPr>
            <sz val="9"/>
            <color indexed="81"/>
            <rFont val="Tahoma"/>
            <family val="2"/>
          </rPr>
          <t>Se realiza cambio de modalidad de contratación según oficio radicado: I-2021-01421</t>
        </r>
      </text>
    </comment>
    <comment ref="R206" authorId="1" shapeId="0">
      <text>
        <r>
          <rPr>
            <b/>
            <sz val="9"/>
            <color indexed="81"/>
            <rFont val="Tahoma"/>
            <family val="2"/>
          </rPr>
          <t>Olga Milena González Gómez: Se realiza traslado al rubro A050101003006. OFICIO:  Id: 14887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20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 </t>
        </r>
        <r>
          <rPr>
            <sz val="9"/>
            <color indexed="81"/>
            <rFont val="Tahoma"/>
            <family val="2"/>
          </rPr>
          <t xml:space="preserve">
1, se recibe traslado por valor $587.900.000
2, Se recibe traslado del rubro: SUMINISTRO DE ELEMENTOS DE FERRETERÍA Y OTROS MATERIALES PARA EL MANTENIMIENTO DE LAS VIVIENDAS FISCALES Y SUS ÁREAS COMUNES EN CIUDAD DE BOGOTÁ (Para tramitar vigencias futuras del 2022), por valor de $390,000,000 y del rubro de CONVENIOS INTERADMINISTRATIVOS. por valor de $215,166,656  según oficio ID 26217.                                                                               3. Se realiza traslado por valor de $26.000.000 a rubro:A-02-02-02-008-007 SERVICIOS DE MANTENIMIENTO, REPARACION E
INSTALACION. Item: MANTENIMIENTO PREVENTIVO Y CORRECTIVO A
TODO COSTO DE LOS CUARTOS DE MAQUINAS Y LAS
MOTOBOMBAS DE LAS SECCIONALES DEL
INSTITUTO DE CASAS FISCALES DEL EJERCITO A
NIVEL NACIONAL Y SU SEDE ADMINISTRATIVA EN
LA CIUDAD DE BOGOTA. Oficio ID: 26730   4. Se realiza traslado por valor de $57.000.000 para el rubro MANTENIMIENTO PREVENTIVO Y
CORRECTIVO A TODO COSTO DE LOS
ASCENSORES DE LOS DIFERENTES EDIFICIOS
DE VIVIENDAS FISCALES EN BOGOTÁ, Oficio ID 28571.</t>
        </r>
      </text>
    </comment>
    <comment ref="R222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recibe traslado por valor $480.000.000 del rubro: "RUBRO PARA CONVENIOS INTERADMINISTRATIVOS PARA MANTENIMIENTO DE VIVIENDAS FISCALES A NIVEL NACIONAL"                                                                                                                               * Se adiciona valor por $82.000.000, con oficio ID:26217</t>
        </r>
      </text>
    </comment>
    <comment ref="R224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1. Se recie traslado por $8.400.000 del item INSPECCIÓN TÉCNICA Y CERTIFICACIÓN A SISTEMAS DE TRANSPORTE VERTICAL (ASCENSORES) DE LOS INMUEBLES DEL ICFE OFICIO I-2021-00532 Id: 12699
2. Se recibe traslado por$ 57.000.000 de ítem  SUMINISTRO DE ELEMENTOS DE FERRETERÍA
Y OTROS MATERIALES PARA EL
MANTENIMIENTO DE LAS VIVIENDAS
FISCALES Y SUS ÁREAS COMUNES EN LAS
SECCIONALES A NIVEL NACIONAL. Oficio ID:  28571</t>
        </r>
      </text>
    </comment>
    <comment ref="R225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tralado por valor de $43.734.000
rubro: A-05-01-02-005-004 SERVICIOS DE CONSTRUCCION
item: MANTENIMIENTO PREVENTIVO Y CORRECTIVO A TODO COSTO DE LOS CUARTOS DE MAQUINAS Y LAS MOTOBOMBAS DE LAS VIVIENDAS FISCALES A NIVEL NACIONAL (Para tramitar vigencias futuras del 2022)
oficio: I-2021-01671 ID: 17376</t>
        </r>
      </text>
    </comment>
    <comment ref="R226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tralado por valor de $43.734.000
rubro: A-05-01-02-005-004 SERVICIOS DE CONSTRUCCION
item: MANTENIMIENTO PREVENTIVO Y
CORRECTIVO A TODO COSTO DE LOS
ASCENSORES DE LOS DIFERENTES
EDIFICIOS DE VIVIENDAS FISCALES
EN BOGOTÁ (Para tramitar vigencias
futuras del 2022)
oficio: I-2021-01671 ID: 17376</t>
        </r>
      </text>
    </comment>
    <comment ref="R227" authorId="2" shapeId="0">
      <text>
        <r>
          <rPr>
            <b/>
            <sz val="9"/>
            <color indexed="81"/>
            <rFont val="Tahoma"/>
            <family val="2"/>
          </rPr>
          <t>ANGIE DAYANA HERNANDEZ :
1,</t>
        </r>
        <r>
          <rPr>
            <sz val="9"/>
            <color indexed="81"/>
            <rFont val="Tahoma"/>
            <family val="2"/>
          </rPr>
          <t>Se realiza traslado por valor de $ 22.600.000 uno
2. Se recibe traslado por valor de $26.000.000 del rubro  A-05-01-02-005-004-05 SERVICIOS ESPECIALES DE CONSTRUCCIÓN, ITEM: SUMINISTRO DE ELEMENTOS DE FERRETERÍA Y
OTROS MATERIALES PARA EL MANTENIMIENTO DE
LAS VIVIENDAS FISCALES Y SUS ÁREAS COMUNES
EN LAS SECCIONALES A NIVEL NACIONAL. Oficio ID: 26730</t>
        </r>
      </text>
    </comment>
    <comment ref="R230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trasladan con  oficio Id: 19985 $480.000.000 para A-05-01-02-005-004-05 SERVICIOS ESPECIALES DE CONSTRUCCIÓN-ADICION CONTRATO No. 147 DE 2020 - SUMINISTRO
DE ELEMENTOS DE FERRETERIA Y CONSTRUCCIÓN
PARA ATENDER EL MANTENIMIENTO PREVENTIVO Y
CORRECTIVO DE LAS VIVIENDAS FISCALES Y SUS
ÁREAS COMUNES EN LA CIUDAD DE BOGOTA.
*Se realiza traslado al rubro de  SUMINISTRO DE ELEMENTOS DE FERRETERÍA Y OTROS MATERIALES PARA EL MANTENIMIENTO DE LAS VIVIENDAS FISCALES Y SUS ÁREAS COMUNES EN EN LAS SECCIONALES A NIVEL NACIONAL, por valor de $211.666.256        *  Se trasladan  según acta  de octubre 8 de 2021 : $85.000.000 para  rubro A-05-01-02-005-004-05-SUMINISTRO E INSTALACIÓN  DE PARQUES INFANTILES PARA LAS VIVIENDAS Y ÁREAS COMUNES DEL ICFE.   * Se traslada al rubro: A-05-01-02-008-005-02-ADQUISICIÓN DE ANDAMIOS MULTIDIRECCIONALES CERTIFICADOS PARA EL ICFE. *  Se traslada  según acta 8/10/02021  valor 19.203.744 a rubro: A-05-01-01-003-006-02   * se trasladan 75.000.000 al RUBRO A-05-01-02-005-004 SERVICIO DE MANTENIMIENTO DE cct TV PARA LAS ÁREAS COMUNES DE LAS VIVIENDAS FISCALES EN BOGOTÁ</t>
        </r>
      </text>
    </comment>
    <comment ref="R233" authorId="1" shapeId="0">
      <text>
        <r>
          <rPr>
            <b/>
            <sz val="9"/>
            <color indexed="81"/>
            <rFont val="Tahoma"/>
            <family val="2"/>
          </rPr>
          <t>Olga Milena González Gómez:</t>
        </r>
        <r>
          <rPr>
            <sz val="9"/>
            <color indexed="81"/>
            <rFont val="Tahoma"/>
            <family val="2"/>
          </rPr>
          <t xml:space="preserve">
Se recibe traslado por $75.000.000</t>
        </r>
      </text>
    </comment>
    <comment ref="R235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 :
</t>
        </r>
        <r>
          <rPr>
            <sz val="9"/>
            <color indexed="81"/>
            <rFont val="Tahoma"/>
            <family val="2"/>
          </rPr>
          <t xml:space="preserve">Se realiza traslado por valor de $ 25.850.000 uno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36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 :
</t>
        </r>
        <r>
          <rPr>
            <sz val="9"/>
            <color indexed="81"/>
            <rFont val="Tahoma"/>
            <family val="2"/>
          </rPr>
          <t>Se realiza traslado por valor de $ 25.850.000 uno</t>
        </r>
      </text>
    </comment>
    <comment ref="R237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por valor de $7.904.547
rubro: A-05-01-02-005-004 SERVICIOS DE CONSTRUCCIÓN
item: PRESTACION DE SERVICIOS DE ACTIVIDADES
DE MANTENIMIENTO BÁSICO Y ACABADOS
DE LAS VIVIENDAS FISCALES EN LA CIUDAD
DE BOGOTA
oficio  I-2021-04653 Id: 29006 (15/12/2021)</t>
        </r>
      </text>
    </comment>
    <comment ref="R238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por valor de $7.904.547
rubro: A-05-01-02-005-004 SERVICIOS DE CONSTRUCCIÓN
item: PRESTACION DE SERVICIOS PARA LA
APLICACIÓN DE PINTURA EN ESTRUCTURAS
DE ACUERDO AL TIPO DE ACABADO
SOLICITADO EN LAS VIVIENDAS FISCALES
DEL ICFE DE ACUERDO A LAS NECESIDADES.
oficio  I-2021-04653 Id: 29006 (15/12/2021)</t>
        </r>
      </text>
    </comment>
    <comment ref="R253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 xml:space="preserve">Se realiza  traslado $33.300.000 uno
</t>
        </r>
      </text>
    </comment>
    <comment ref="R256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 xml:space="preserve">Se realza traslado $400.300.000 uno
* Se realiza traslado por valor de $17.436.638 al ítem </t>
        </r>
      </text>
    </comment>
    <comment ref="L259" authorId="1" shapeId="0">
      <text>
        <r>
          <rPr>
            <b/>
            <sz val="9"/>
            <color indexed="81"/>
            <rFont val="Tahoma"/>
            <family val="2"/>
          </rPr>
          <t>Olga Milena González Gómez: Se cambia nombre de la descripción "LAVADO Y DESINFECCIÓN DE TANQUES DE AGUA POTABLE DE LOS CONJUNTOS RESIDENCIALES DE LA GUARNICIÓN BOGOTÁ" por "LAVADO Y DESINFECCIÓN DE TANQUES DE
AGUA POTABLE DE LAS VIVIENDAS FISCALES
A NIVEL NACIONAL" . Oficio ID: 01813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9" authorId="2" shapeId="0">
      <text>
        <r>
          <rPr>
            <b/>
            <sz val="9"/>
            <color indexed="81"/>
            <rFont val="Tahoma"/>
            <family val="2"/>
          </rPr>
          <t xml:space="preserve">Angie Dayana Hernandez:
</t>
        </r>
        <r>
          <rPr>
            <sz val="9"/>
            <color indexed="81"/>
            <rFont val="Tahoma"/>
            <family val="2"/>
          </rPr>
          <t xml:space="preserve">Se realza traslado $80.000.000 uno
</t>
        </r>
      </text>
    </comment>
    <comment ref="R261" authorId="5" shapeId="0">
      <text>
        <r>
          <rPr>
            <b/>
            <sz val="9"/>
            <color indexed="81"/>
            <rFont val="Tahoma"/>
            <family val="2"/>
          </rPr>
          <t>PERSONAL:</t>
        </r>
        <r>
          <rPr>
            <sz val="9"/>
            <color indexed="81"/>
            <rFont val="Tahoma"/>
            <family val="2"/>
          </rPr>
          <t xml:space="preserve">
se pasan 167.170.000 para extintoes conjuntos residenciales bogota</t>
        </r>
      </text>
    </comment>
    <comment ref="R265" authorId="5" shapeId="0">
      <text>
        <r>
          <rPr>
            <b/>
            <sz val="9"/>
            <color indexed="81"/>
            <rFont val="Tahoma"/>
            <family val="2"/>
          </rPr>
          <t>PERSONAL:</t>
        </r>
        <r>
          <rPr>
            <sz val="9"/>
            <color indexed="81"/>
            <rFont val="Tahoma"/>
            <family val="2"/>
          </rPr>
          <t xml:space="preserve">
DEL item servicio de limpieza y aseo areas comunes seseccional bta , bucaramanga, cali tolemaida y viilavicencio se trae el valor de 16170000</t>
        </r>
      </text>
    </comment>
    <comment ref="R294" authorId="3" shapeId="0">
      <text>
        <r>
          <rPr>
            <b/>
            <sz val="9"/>
            <color indexed="81"/>
            <rFont val="Tahoma"/>
            <charset val="1"/>
          </rPr>
          <t>Angie Dayana Hernandez Lobaton:</t>
        </r>
        <r>
          <rPr>
            <sz val="9"/>
            <color indexed="81"/>
            <rFont val="Tahoma"/>
            <charset val="1"/>
          </rPr>
          <t xml:space="preserve">
Se realiza traslado por valor de $32.732.640
item 
oficio Suministro e instalación de parques infantiles para las viviendas y áreas comunes del instituto de casas fiscales del ejercito a nivel nacional
oficio:</t>
        </r>
      </text>
    </comment>
    <comment ref="R299" authorId="1" shapeId="0">
      <text>
        <r>
          <rPr>
            <sz val="9"/>
            <color indexed="81"/>
            <rFont val="Tahoma"/>
            <family val="2"/>
          </rPr>
          <t xml:space="preserve">Se divide ítem en dos. Se realiza traslado de $30 millones a nuevo ítem:"Estudio de suelos y resistividad de terreno para la construcción de edificio en San José del
Guaviare". Documento ID16121
</t>
        </r>
      </text>
    </comment>
    <comment ref="R300" authorId="1" shapeId="0">
      <text>
        <r>
          <rPr>
            <sz val="9"/>
            <color indexed="81"/>
            <rFont val="Tahoma"/>
            <family val="2"/>
          </rPr>
          <t xml:space="preserve">Se crea Item y se recibe traslado de $30 millones con oficio ID 131321
</t>
        </r>
      </text>
    </comment>
    <comment ref="R304" authorId="3" shapeId="0">
      <text>
        <r>
          <rPr>
            <b/>
            <sz val="9"/>
            <color indexed="81"/>
            <rFont val="Tahoma"/>
            <charset val="1"/>
          </rPr>
          <t>Angie Dayana Hernandez Lobaton:</t>
        </r>
        <r>
          <rPr>
            <sz val="9"/>
            <color indexed="81"/>
            <rFont val="Tahoma"/>
            <charset val="1"/>
          </rPr>
          <t xml:space="preserve">
Se recibe traslado por valor de $32.732.640
item 
Interventoría Construcción edificios en Nilo -Cundinamarca
oficio:
</t>
        </r>
      </text>
    </comment>
    <comment ref="R310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recibe traslado por valor de $19.671.443
item: Mantenimiento apartamentos edificio Pore - Yopal, Casanare
oficio: I-2021-02493 ID: 21581</t>
        </r>
      </text>
    </comment>
    <comment ref="R311" authorId="3" shapeId="0">
      <text>
        <r>
          <rPr>
            <b/>
            <sz val="9"/>
            <color indexed="81"/>
            <rFont val="Tahoma"/>
            <family val="2"/>
          </rPr>
          <t>Angie Dayana Hernandez Lobaton:</t>
        </r>
        <r>
          <rPr>
            <sz val="9"/>
            <color indexed="81"/>
            <rFont val="Tahoma"/>
            <family val="2"/>
          </rPr>
          <t xml:space="preserve">
se Realiza traslado por valor de $19.671.443
item: Interventoria mantenimiento edificio Cazadores- Conjunto Santa Ana
oficio: I-2021-02493 ID: 21581</t>
        </r>
      </text>
    </comment>
  </commentList>
</comments>
</file>

<file path=xl/sharedStrings.xml><?xml version="1.0" encoding="utf-8"?>
<sst xmlns="http://schemas.openxmlformats.org/spreadsheetml/2006/main" count="4179" uniqueCount="687">
  <si>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</si>
  <si>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</si>
  <si>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</si>
  <si>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</si>
  <si>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</si>
  <si>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</si>
  <si>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</si>
  <si>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A</t>
  </si>
  <si>
    <t>01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</si>
  <si>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</si>
  <si>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</si>
  <si>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</si>
  <si>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</si>
  <si>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</si>
  <si>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</si>
  <si>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</si>
  <si>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</si>
  <si>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</si>
  <si>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</si>
  <si>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VIÁTICOS DE LOS FUNCIONARIOS EN COMISIÓN</t>
  </si>
  <si>
    <t>02</t>
  </si>
  <si>
    <t>1</t>
  </si>
  <si>
    <t>2</t>
  </si>
  <si>
    <t>03</t>
  </si>
  <si>
    <t>04</t>
  </si>
  <si>
    <t>ADQUISICIÓN DE ACTIVOS NO FINANCIEROS</t>
  </si>
  <si>
    <t>ACTIVOS FIJOS</t>
  </si>
  <si>
    <t>05</t>
  </si>
  <si>
    <t>06</t>
  </si>
  <si>
    <t>07</t>
  </si>
  <si>
    <t>08</t>
  </si>
  <si>
    <t>09</t>
  </si>
  <si>
    <t>3</t>
  </si>
  <si>
    <t>4</t>
  </si>
  <si>
    <t>5</t>
  </si>
  <si>
    <t>6</t>
  </si>
  <si>
    <t>MAQUINARIA Y EQUIPO</t>
  </si>
  <si>
    <t>MAQUINARIA PARA USO GENERAL</t>
  </si>
  <si>
    <t>HORNOS Y QUEMADORES PARA ALIMENTACIÓN DE HOGARES Y SUS PARTES Y PIEZAS</t>
  </si>
  <si>
    <t>MAQUINARIA PARA USOS ESPECIALES</t>
  </si>
  <si>
    <t>MÁQUINAS HERRAMIENTAS Y SUS PARTES, PIEZAS Y ACCESORIOS</t>
  </si>
  <si>
    <t>OTRA MAQUINARIA PARA USOS ESPECIALES Y SUS PARTES Y PIEZAS</t>
  </si>
  <si>
    <t>MAQUINARIA DE OFICINA, CONTABILIDAD E INFORMÁTICA</t>
  </si>
  <si>
    <t>MÁQUINAS PARA OFICINA Y CONTABILIDAD, Y SUS PARTES Y ACCESORIOS</t>
  </si>
  <si>
    <t>OTROS ACTIVOS FIJOS</t>
  </si>
  <si>
    <t>PRODUCTOS DE LA PROPIEDAD INTELECTUAL</t>
  </si>
  <si>
    <t>PROGRAMAS DE INFORMÁTICA Y BASES DE DATOS</t>
  </si>
  <si>
    <t>PROGRAMAS DE INFORMÁTICA</t>
  </si>
  <si>
    <t>PAQUETES DE SOFTWARE</t>
  </si>
  <si>
    <t>ADQUISICIONES DIFERENTES DE ACTIVOS</t>
  </si>
  <si>
    <t>MATERIALES Y SUMINISTROS</t>
  </si>
  <si>
    <t>PRODUCTOS ALIMENTICIOS, BEBIDAS Y TABACO; TEXTILES, PRENDAS DE VESTIR Y PRODUCTOS DE CUERO</t>
  </si>
  <si>
    <t>PRODUCTOS DE MOLINERÍA, ALMIDONES Y PRODUCTOS DERIVADOS DEL ALMIDÓN; OTROS PRODUCTOS ALIMENTICIOS</t>
  </si>
  <si>
    <t>AZÚCAR</t>
  </si>
  <si>
    <t>PRODUCTOS DEL CAFÉ</t>
  </si>
  <si>
    <t>ARTÍCULOS TEXTILES (EXCEPTO PRENDAS DE VESTIR)</t>
  </si>
  <si>
    <t>DOTACIÓN (PRENDAS DE VESTIR Y CALZADO)</t>
  </si>
  <si>
    <t>OTROS BIENES TRANSPORTABLES (EXCEPTO PRODUCTOS METÁLICOS, MAQUINARIA Y EQUIPO)</t>
  </si>
  <si>
    <t>PASTA O PULPA, PAPEL Y PRODUCTOS DE PAPEL; IMPRESOS Y ARTÍCULOS RELACIONADOS</t>
  </si>
  <si>
    <t>PASTA DE PAPEL, PAPEL Y CARTÓN</t>
  </si>
  <si>
    <t>PRODUCTOS DE HORNOS DE COQUE; PRODUCTOS DE REFINACIÓN DE PETRÓLEO Y COMBUSTIBLE NUCLEAR</t>
  </si>
  <si>
    <t>GAS DE PETRÓLEO Y OTROS HIDROCARBUROS GASEOSOS (EXCEPTO GAS NATURAL)</t>
  </si>
  <si>
    <t>QUÍMICOS BÁSICOS</t>
  </si>
  <si>
    <t>ABONOS Y PLAGUICIDAS</t>
  </si>
  <si>
    <t>OTROS PRODUCTOS QUÍMICOS; FIBRAS ARTIFICIALES (O FIBRAS INDUSTRIALES HECHAS POR EL HOMBRE)</t>
  </si>
  <si>
    <t>JABÓN, PREPARADOS PARA LIMPIEZA, PERFUMES Y PREPARADOS DE TOCADOR</t>
  </si>
  <si>
    <t>PRODUCTOS DE CAUCHO Y PLÁSTICO</t>
  </si>
  <si>
    <t>LLANTAS DE CAUCHO Y NEUMÁTICOS (CÁMARAS DE AIRE)</t>
  </si>
  <si>
    <t>OTROS PRODUCTOS DE CAUCHO</t>
  </si>
  <si>
    <t>SEMIMANUFACTURAS DE PLÁSTICO</t>
  </si>
  <si>
    <t>PRODUCTOS DE EMPAQUE Y ENVASADO, DE PLÁSTICO</t>
  </si>
  <si>
    <t>VIDRIO Y PRODUCTOS DE VIDRIO Y OTROS PRODUCTOS NO METÁLICOS N.C.P.</t>
  </si>
  <si>
    <t>VIDRIO Y PRODUCTOS DE VIDRIO</t>
  </si>
  <si>
    <t>PRODUCTOS METÁLICOS Y PAQUETES DE SOFTWARE</t>
  </si>
  <si>
    <t>PRODUCTOS METÁLICOS ELABORADOS (EXCEPTO MAQUINARIA Y EQUIPO)</t>
  </si>
  <si>
    <t>ADQUISICIÓN DE SERVICIOS</t>
  </si>
  <si>
    <t>SERVICIOS DE LA CONSTRUCCIÓN</t>
  </si>
  <si>
    <t>SERVICIOS DE CONSTRUCCIÓN</t>
  </si>
  <si>
    <t>SERVICIOS ESPECIALES DE CONSTRUCCIÓN</t>
  </si>
  <si>
    <t>SERVICIOS DE INSTALACIONES</t>
  </si>
  <si>
    <t>SERVICIOS DE TERMINACIÓN Y ACABADOS DE EDIFICIOS</t>
  </si>
  <si>
    <t>SERVICIOS DE ALOJAMIENTO; SERVICIOS DE SUMINISTRO DE COMIDAS Y BEBIDAS; SERVICIOS DE TRANSPORTE; Y SERVICIOS DE DISTRIBUCIÓN DE ELECTRICIDAD, GAS Y AGUA</t>
  </si>
  <si>
    <t>SERVICIOS DE TRANSPORTE DE PASAJEROS</t>
  </si>
  <si>
    <t>SERVICIOS POSTALES Y DE MENSAJERÍA</t>
  </si>
  <si>
    <t>SERVICIOS DE DISTRIBUCIÓN DE ELECTRICIDAD, GAS Y AGUA (POR CUENTA PROPIA)</t>
  </si>
  <si>
    <t>SERVICIOS DE DISTRIBUCIÓN DE ELECTRICIDAD, Y SERVICIOS DE DISTRIBUCIÓN DE GAS (POR CUENTA PROPIA)</t>
  </si>
  <si>
    <t>SERVICIOS FINANCIEROS Y SERVICIOS CONEXOS, SERVICIOS INMOBILIARIOS Y SERVICIOS DE LEASING</t>
  </si>
  <si>
    <t>SERVICIOS DE SEGUROS Y PENSIONES (CON EXCLUSIÓN DE SERVICIOS DE REASEGURO), EXCEPTO LOS SERVICIOS DE SEGUROS SOCIALES</t>
  </si>
  <si>
    <t>OTROS SERVICIOS DE SEGUROS DISTINTOS A LOS SEGUROS DE VIDA (EXCEPTO LOS SERVICIOS DE REASEGURO)</t>
  </si>
  <si>
    <t>SERVICIOS DE SEGUROS CONTRA INCENDIO, TERREMOTO O SUSTRACCIÓN</t>
  </si>
  <si>
    <t>SERVICIOS DE SEGURO OBLIGATORIO DE ACCIDENTES DE TRÁNSITO (SOAT)</t>
  </si>
  <si>
    <t>SERVICIOS PRESTADOS A LAS EMPRESAS Y SERVICIOS DE PRODUCCIÓN</t>
  </si>
  <si>
    <t>SERVICIOS JURÍDICOS Y CONTABLES</t>
  </si>
  <si>
    <t>SERVICIOS JURÍDICOS</t>
  </si>
  <si>
    <t>SERVICIOS DE CONTABILIDAD, AUDITORÍA Y TENEDURÍA DE LIBROS</t>
  </si>
  <si>
    <t>OTROS SERVICIOS PROFESIONALES, CIENTÍFICOS Y TÉCNICOS</t>
  </si>
  <si>
    <t>SERVICIOS DE CONSULTORÍA EN ADMINISTRACIÓN Y SERVICIOS DE GESTIÓN</t>
  </si>
  <si>
    <t>SERVICIOS DE CONSULTORÍA PRESTADOS A LAS EMPRESAS</t>
  </si>
  <si>
    <t>SERVICIOS DE TECNOLOGÍA DE LA INFORMACIÓN (TI) DE CONSULTORÍA Y DE APOYO</t>
  </si>
  <si>
    <t>SERVICIOS DE DISEÑO Y DESARROLLO DE LA TECNOLOGÍA DE LA INFORMACIÓN (TI)</t>
  </si>
  <si>
    <t>SERVICIOS DE GESTIÓN DE RED E INFRAESTRUCTURA DE TI</t>
  </si>
  <si>
    <t>SERVICIOS DE TELECOMUNICACIONES, TRANSMISIÓN Y SUMINISTRO DE INFORMACIÓN</t>
  </si>
  <si>
    <t>SERVICIOS DE TELEFONÍA Y OTRAS TELECOMUNICACIONES</t>
  </si>
  <si>
    <t>SERVICIOS DE TELECOMUNICACIONES A TRAVÉS DE INTERNET</t>
  </si>
  <si>
    <t>SERVICIOS DE SOPORTE</t>
  </si>
  <si>
    <t>SERVICIOS DE LIMPIEZA</t>
  </si>
  <si>
    <t>SERVICIOS DE MANTENIMIENTO, REPARACIÓN E INSTALACIÓN (EXCEPTO SERVICIOS DE CONSTRUCCIÓN)</t>
  </si>
  <si>
    <t>SERVICIOS DE MANTENIMIENTO Y REPARACIÓN DE PRODUCTOS METÁLICOS ELABORADOS, MAQUINARIA Y EQUIPO</t>
  </si>
  <si>
    <t>SERVICIOS DE MANTENIMIENTO Y REPARACIÓN DE OTRA MAQUINARIA Y OTRO EQUIPO</t>
  </si>
  <si>
    <t>SERVICIOS DE INSTALACIÓN (DISTINTOS DE LOS SERVICIOS DE CONSTRUCCIÓN)</t>
  </si>
  <si>
    <t>SERVICIOS DE INSTALACIÓN DE PRODUCTOS METÁLICOS ELABORADOS, EXCEPTO MAQUINARIA Y EQUIPO</t>
  </si>
  <si>
    <t>SERVICIOS PARA LA COMUNIDAD, SOCIALES Y PERSONALES</t>
  </si>
  <si>
    <t>SERVICIOS DE EDUCACIÓN</t>
  </si>
  <si>
    <t>OTROS TIPOS DE EDUCACIÓN Y SERVICIOS DE APOYO EDUCATIVO</t>
  </si>
  <si>
    <t>SERVICIOS DE ESPARCIMIENTO, CULTURALES Y DEPORTIVOS</t>
  </si>
  <si>
    <t>SERVICIOS DEPORTIVOS Y DEPORTES RECREATIVOS</t>
  </si>
  <si>
    <t>OTROS SERVICIOS DE ESPARCIMIENTO Y DIVERSIÓN</t>
  </si>
  <si>
    <t>OTROS SERVICIOS</t>
  </si>
  <si>
    <t>SERVICIOS DE LAVADO, LIMPIEZA Y TEÑIDO</t>
  </si>
  <si>
    <t>OTROS SERVICIOS DIVERSOS N.C.P.</t>
  </si>
  <si>
    <t>GASTOS DE COMERCIALIZACIÓN Y PRODUCCIÓN</t>
  </si>
  <si>
    <t>PRODUCTOS METÁLICOS, MAQUINARIA Y EQUIPO</t>
  </si>
  <si>
    <t>SERVICIOS DE CONSULTORÍA EN ADMINISTRACIÓN Y SERVICIOS DE GESTIÓN; SERVICIOS DE TECNOLOGÍA DE LA INFORMACIÓN</t>
  </si>
  <si>
    <t>DISMINUCIÓN DE PASIVOS</t>
  </si>
  <si>
    <t>CESANTÍAS</t>
  </si>
  <si>
    <t>DEPÓSITO EN PRENDA</t>
  </si>
  <si>
    <t>GASTOS POR TRIBUTOS, MULTAS, SANCIONES E INTERESES DE MORA</t>
  </si>
  <si>
    <t>IMPUESTOS</t>
  </si>
  <si>
    <t>IMPUESTOS TERRITORIALES</t>
  </si>
  <si>
    <t>IMPUESTO PREDIAL</t>
  </si>
  <si>
    <t>IMPUESTO DE INDUSTRIA Y COMERCIO</t>
  </si>
  <si>
    <t>IMPUESTO SOBRE VEHÍCULOS AUTOMOTORES</t>
  </si>
  <si>
    <t>CONTRIBUCIONES</t>
  </si>
  <si>
    <t>CUOTA DE FISCALIZACIÓN Y AUDITAJE</t>
  </si>
  <si>
    <t>Tipo Presupuesto</t>
  </si>
  <si>
    <t>SubItem 2</t>
  </si>
  <si>
    <t>SERVICIOS DE MANTENIMIENTO Y REPARACIÓN DE COMPUTADORES Y EQUIPO PERIFÉRICO</t>
  </si>
  <si>
    <t>SERVICIOS DE MANTENIMIENTO Y REPARACIÓN DE MAQUINARIA Y EQUIPO DE TRANSPORTE</t>
  </si>
  <si>
    <t>DIARIOS, REVISTAS Y PUBLICACIONES PERIÓDICAS, PUBLICADOS MENOS DE CUATRO VECES POR SEMANA</t>
  </si>
  <si>
    <t>SERVICIOS FINANCIEROS Y SERVICIOS CONEXOS</t>
  </si>
  <si>
    <t>PRODUCTOS FARMACÉUTICOS</t>
  </si>
  <si>
    <t>INSTRUMENTOS Y APARATOS DE MEDICIÓN, VERIFICACIÓN, ANÁLISIS, DE NAVEGACIÓN Y PARA OTROS FINES (EXCEPTO INSTRUMENTOS ÓPTICOS); INSTRUMENTOS DE CONTROL DE PROCESOS INDUSTRIALES, SUS PARTES, PIEZAS Y ACCESORIOS</t>
  </si>
  <si>
    <t>INSTRUMENTOS ÓPTICOS Y EQUIPO FOTOGRÁFICO; PARTES, PIEZAS Y ACCESORIOS</t>
  </si>
  <si>
    <t>APARATOS MÉDICOS, INSTRUMENTOS ÓPTICOS Y DE PRECISIÓN, RELOJES</t>
  </si>
  <si>
    <t>SERVICIOS PARA EL CUIDADO DE LA SALUD HUMANA Y SERVICIOS SOCIALES</t>
  </si>
  <si>
    <t>SERVICIOS DE SALUD HUMANA</t>
  </si>
  <si>
    <t>APARATOS DE USO DOMÉSTICO Y SUS PARTES Y PIEZAS</t>
  </si>
  <si>
    <t>SERVICIOS DE ALCANTARILLADO, RECOLECCIÓN, TRATAMIENTO Y DISPOSICIÓN DE DESECHOS Y OTROS SERVICIOS DE SANEAMIENTO AMBIENTAL</t>
  </si>
  <si>
    <t>SERVICIOS DE ALCANTARILLADO, SERVICIOS DE LIMPIEZA, TRATAMIENTO DE AGUAS RESIDUALES Y TANQUES SÉPTICOS</t>
  </si>
  <si>
    <t>C</t>
  </si>
  <si>
    <t>1505</t>
  </si>
  <si>
    <t>0100</t>
  </si>
  <si>
    <t>INVERSION</t>
  </si>
  <si>
    <t>GENERACIÓN DE BIENESTAR PARA LA FUERZA PÚBLICA Y SUS FAMILIAS</t>
  </si>
  <si>
    <t>INTERSUBSECTORIAL DEFENSA Y SEGURIDAD</t>
  </si>
  <si>
    <t>000</t>
  </si>
  <si>
    <t>AGRICULTURA, SILVICULTURA Y PRODUCTOS DE LA PESCA</t>
  </si>
  <si>
    <t>PRODUCTOS DE LA AGRICULTURA Y LA HORTICULTURA</t>
  </si>
  <si>
    <t>PRODUCTOS DE FORRAJE, FIBRAS, PLANTAS VIVAS, FLORES Y CAPULLOS DE FLORES, TABACO EN RAMA Y CAUCHO NATURAL</t>
  </si>
  <si>
    <t>CONSTRUCCION DE VIVIENDA FISCAL A NIVEL NACIONAL</t>
  </si>
  <si>
    <t>Fecha estimada de inicio de proceso de selección</t>
  </si>
  <si>
    <t>Duración estimada del contrato</t>
  </si>
  <si>
    <t xml:space="preserve">Modalidad de selección </t>
  </si>
  <si>
    <t>Códigos UNSPSC</t>
  </si>
  <si>
    <t>Descripción</t>
  </si>
  <si>
    <t>¿Se requieren vigencias futuras del 2021?</t>
  </si>
  <si>
    <t>Dependencia responsable</t>
  </si>
  <si>
    <t>Valor total incluido vigencias futuras 2020+2021</t>
  </si>
  <si>
    <t>ADQUISICIONES PLANEADAS</t>
  </si>
  <si>
    <t>PLAN ANUAL DE ADQUISICIONES VIGENCIA 2020 - ICFE</t>
  </si>
  <si>
    <t>MANTENIMIENTO RECUPERATIVO Y ESTRUCTURAL DE VIVIENDAS FISCALES Y SUS AREAS COMUNES A NIVEL NACIONAL</t>
  </si>
  <si>
    <t>LICENCIAMIENTO DE OFIMATICA Y SISTEMAS OPERATIVOS</t>
  </si>
  <si>
    <t xml:space="preserve">RENOVACION DE LICENCIAS DE FIREWALL, VPN Y ANTIVIRUS </t>
  </si>
  <si>
    <t>ADQUISICION Y RENOVACION DE LICENCIAS DE APOYO ADMINISTRATIVO</t>
  </si>
  <si>
    <t>CERTIFICADOS DIGITALES DE FUNCION PUBLICA Y SSL</t>
  </si>
  <si>
    <t>SERVICIO DE AUDITORIA Y ACOMPAÑAMIENTO EN LA PLATAFORMA SAP DEL ICFE</t>
  </si>
  <si>
    <t>ACTUALIZACIONES CON SOPORTE PARA LA PLATAFORMA VISION EMPRESARIAL</t>
  </si>
  <si>
    <t>SERVICIO DE SOPORTE Y MANTENIMIENTO ERP SAP DE FABRICA</t>
  </si>
  <si>
    <t>SERVICIO DE IMPLEMENTACION DE DIRECCIONAMIENTO IPV6</t>
  </si>
  <si>
    <t>SERVICIO DE ACTUALIZACIONES Y  MEJORAS SAIMF PROFESIONAL DE INGENIERIA DESARROLLADOR SENIOR SAIMF</t>
  </si>
  <si>
    <t>SOPORTE Y MANTENIMIENTO ESPECIALIZADO SOBRE LA INFRAESTRUCTURA DE SERVIDORES INFORMATICOS</t>
  </si>
  <si>
    <t>INFORMATICA</t>
  </si>
  <si>
    <t>CAPACITACION IPV6</t>
  </si>
  <si>
    <t>SUMINISTRO DE DOTACIÓN PARA EL PERSONAL DE EMPLEADOS PÚBLICOS Y  TRABAJADORES OFICIALES DEL ICFE</t>
  </si>
  <si>
    <t>PLANTAS AROMÁTICAS, BEBESTIBLES Y ESPECIAS</t>
  </si>
  <si>
    <t>PRODUCTOS LÁCTEOS Y OVOPRODUCTOS</t>
  </si>
  <si>
    <t>EQUIPOS DE PRIMEROS AUXILIOS (BOTIQUINES SST)</t>
  </si>
  <si>
    <t xml:space="preserve">SEÑALIZACIÓN </t>
  </si>
  <si>
    <t>OTROS BIENES TRANSPORTABLES N.C.P.</t>
  </si>
  <si>
    <t>OTROS ARTÍCULOS MANUFACTURADOS N.C.P.</t>
  </si>
  <si>
    <t>PRESTACIÓN DE SERVICIOS DE CAPACITACIÓN PARA EL PERSONAL EMPLEADOS PÚBLICOS Y TRABAJADORES OFICIALES DEL ICFE</t>
  </si>
  <si>
    <t>APOYO ECONÓMICO PARA LOS SERVIDORES PÚBLICOS DEL ICFE</t>
  </si>
  <si>
    <t>ACTIVIDADES DE BIENESTAR, INCENTIVOS Y CLIMA ORGANIZACIONAL  PARA LOS FUNCIONARIOS DEL ICFE</t>
  </si>
  <si>
    <t>PRESTACIÓN DE SERVICIOS PROFESIONALES DE APOYO A LA GESTIÓN PARA REALIZAR “PARA LA IMPLEMENTACIÓN DEL SISTEMA DE SEGURIDAD Y SALUD EN EL TRABAJO E INTEGRACIÓN CON OTROS SISTEMAS DE GESTIÓN</t>
  </si>
  <si>
    <t>TALENTO HUMANO</t>
  </si>
  <si>
    <t>SUMINISTRO Y PUESTA EN FUNCIONAMIENTO DEL SISTEMA DE ALARMA DE EMERGENCIAS PARA EL ICFE</t>
  </si>
  <si>
    <t>EXAMENES MEDICOS (SST) Y VACUNACION (SST) Y LABORATORIOS</t>
  </si>
  <si>
    <t>GABINETES CONTRA INCENDIO</t>
  </si>
  <si>
    <t>SUMINISTRO DE ELEMENTOS DE FERRETERÍA Y OTROS MATERIALES PARA EL MANTENIMIENTO DE LAS VIVIENDAS FISCALES Y SUS ÁREAS COMUNES EN CIUDAD DE BOGOTÁ (Para tramitar vigencias futuras del 2021)</t>
  </si>
  <si>
    <t>SUMINISTRO DE ELEMENTOS DE FERRETERÍA Y OTROS MATERIALES PARA EL MANTENIMIENTO DE LAS VIVIENDAS FISCALES Y SUS ÁREAS COMUNES EN EN LAS SECCIONALES A NIVEL NACIONAL</t>
  </si>
  <si>
    <t>ADQUISICION DE  MAQUINARIA Y HERRAMIENTA PARA EL ICFE</t>
  </si>
  <si>
    <t>MANTENIMIENTO PREVENTIVO Y CORRECTIVO A TODO COSTO DE LOS CUARTOS DE MAQUINAS Y LAS MOTOBOMBAS DE LAS VIVIENDAS FISCALES A NIVEL NACIONAL (Para tramitar vigencias futuras del 2021)</t>
  </si>
  <si>
    <t>MANTENIMIENTO PREVENTIVO Y CORRECTIVO A TODO COSTO DE LAS PLANTAS ELECTRICAS DE LAS VIVIENDAS FISCALES DE BOGOTÁ (Para tramitar vigencias futuras del 2021)</t>
  </si>
  <si>
    <t>MANTENIMIENTO PREVENTIVO Y CORRECTIVO A TODO COSTO DE LOS ASCENSORES DE LOS DIFERENTES EDIFICIOS DE VIVIENDAS FISCALES EN BOGOTÁ (Para tramitar vigencias futuras del 2021)</t>
  </si>
  <si>
    <t>SERVICIO DE MANTENIMIENTO CORRECTIVO Y PREVENTIVO A TODO COSTO DE MAQUINARIA Y HERRAMIENTAS DEL AREA DE MANTENIMIENTO DEL ICFE</t>
  </si>
  <si>
    <t>PRESTACIÓN DE SERVICIOS PROFESIONALES Y DE APOYO A LA GESTIÓN EN EL AREA DE MANTENIMIENTO DEL ICFE, PARA LA ESTRUCTURACIÓN DE LOS PROCESOS DE CONTRATACIÓN PUBLICA</t>
  </si>
  <si>
    <t>SUMINISTRO DE COMBUSTIBLE PARA PLANTAS ELECTRICAS, GUADAÑAS Y MAQUINARIAPARA EL MANTENIMIENTO DE LAS VIVIENDAS FISCALES EN BOGOTA</t>
  </si>
  <si>
    <t>SERVICIOS DE LIMPIEZA Y ASEO DE AREAS COMUNES DE VIVIENDAS FISCALES DE BOGOTA</t>
  </si>
  <si>
    <t>SERVICIOS DE EXTERMINACIÓN DE ROEDORES Y CONTROL QUÍMICO DE VECTORES DE LAS VIVIENDAS FISCALES DE BOGOTÁ</t>
  </si>
  <si>
    <t xml:space="preserve">LAVADO Y DESINFECCIÓN DE TANQUES DE AGUA POTABLE DE LAS VIVIENDAS FISCALES DE BOGOTÁ </t>
  </si>
  <si>
    <t>SUMINISTRO DE PLANTAS EXTERIORES E INSUMOS PARA JARDÍN DE LAS VIVIENDAS FISCALES DE BOGOTÁ</t>
  </si>
  <si>
    <t>PRESTACIÓN DE SERVICIOS DE ENTRENAMIENTO Y CERTIFICACIÓN PARA TRABAJO SEGURO EN ALTURAS DEL PERSONAL DEL ICFE</t>
  </si>
  <si>
    <t>LAVADO Y MANTENIMIENTO DE ALFOMBRAS DE VIVIENDAS DE LOS CONJUNTOS RESIDENCIALES DE LA GUARNICIÓN BOGOTA</t>
  </si>
  <si>
    <t>RUBRO PARA CONVENIOS INTERADMINISTRATIVOS PARA MANTENIMIENTO DE VIVIENDAS FISCALES A NIVEL NACIONAL</t>
  </si>
  <si>
    <t>PRESTACION DE SERVICIOS DE ACTIVIDADES DE MANTENIMIENTO  BÁSICO Y ACABADOS DE LAS VIVIENDAS FISCALES A NIVEL NACIONAL</t>
  </si>
  <si>
    <t>PRESTACION DE SERVICIOS PARA LA APLICACIÓN DE PINTURA EN ESTRUCTURAS DE ACUERDO AL TIPO DE ACABADO SOLICITADO EN LAS VIVIENDAS FISCALES</t>
  </si>
  <si>
    <t>PRESTACION DE SERVICIOS TÉCNICOS DE INSTALACIONES DE GAS DOMICILIARIAS PARA LAS VIVIENDAS FISCALES</t>
  </si>
  <si>
    <t>SUMINISTRO E INSTALACIÓN DE VIDRIOS CRUDOS, TEMPLADOS Y CARPINTERÍA EN ALUMINIO PARA LAS VIVIENDAS FISCALES</t>
  </si>
  <si>
    <t>SUMINISTRO DE ELEMENTOS DE PAPELERÍA , ÚTILES DE ESCRITORIO Y OFICINA (INCLUYE ELEMENTO DE ARCHIVO)</t>
  </si>
  <si>
    <t>SUMINISTRO E INSTALACIÓN DE ESTUFAS Y CALENTADORES A GAS PARA LAS VIVIENDAS FISCALES</t>
  </si>
  <si>
    <t>MODERNIZACIÓN, AJUSTE A LA NORMA Y CERTIFICACIÓN DE LOS ASCENSORES DE LAS VIVIENDAS FISCALES</t>
  </si>
  <si>
    <t>MANTENIMIENTO</t>
  </si>
  <si>
    <t>ATENCION AL USUARIO</t>
  </si>
  <si>
    <t>MANTENIMIENTO PREVENTIVO Y CORRECTIVO A TODO COSTO DE LOS CUARTOS DE MAQUINAS Y LAS MOTOBOMBAS DE LAS VIVIENDAS FISCALES A NIVEL NACIONAL (Presupuesto comprometido con vigencias fururas desde 2019)</t>
  </si>
  <si>
    <t>MANTENIMIENTO PREVENTIVO Y CORRECTIVO A TODO COSTO DE LAS PLANTAS ELECTRICAS DE LAS VIVIENDAS FISCALES DE BOGOTÁ (Presupuesto comprometido con vigencias fururas desde 2019)</t>
  </si>
  <si>
    <t>SUMINISTRO DE ELEMENTOS DE FERRETERÍA Y OTROS MATERIALES PARA EL MANTENIMIENTO DE LAS VIVIENDAS FISCALES Y SUS ÁREAS COMUNES EN CIUDAD DE BOGOTÁ (Presupuesto comprometido con vigencias fururas desde 2019)</t>
  </si>
  <si>
    <t>MANTENIMIENTO PREVENTIVO Y CORRECTIVO A TODO COSTO DE LOS ASCENSORES DE LOS DIFERENTES EDIFICIOS DE VIVIENDAS FISCALES EN BOGOTÁ (Presupuesto comprometido con vigencias fururas desde 2019)</t>
  </si>
  <si>
    <t>SERVICIO DE MANTENIMIENTO DE CIRCUITOS CERRADOS DE TV PARA LAS AREAS COMUNES DE LAS VIVIENDAS FISCALES EN BOGOTA (Presupuesto comprometido con vigencias fururas desde 2019)</t>
  </si>
  <si>
    <t>SERVICIO DE MANTENIMIENTO DE CIRCUITOS CERRADOS DE TV PARA LAS AREAS COMUNES DE LAS VIVIENDAS FISCALES EN BOGOTA (Para tramitar vigencias futuras del 2021)</t>
  </si>
  <si>
    <t>SOLUCION DE CORREO ELECTRONICO (160)</t>
  </si>
  <si>
    <t>CANAL DEDICADO A INTERNET (SERVICIO DE CONECTIVIDAD A INTERNET Y ENLACE DEDICADO DE DATOS) (Presupuesto comprometido con vigencias fururas desde 2019)</t>
  </si>
  <si>
    <t>CANAL DEDICADO A INTERNET (SERVICIO DE CONECTIVIDAD A INTERNET Y ENLACE DEDICADO DE DATOS) (Para tramitar vigencias futuras del 2021)</t>
  </si>
  <si>
    <t>SOPORTE Y MANTENIMINENTO INFRAESTRUCTURA DE SEGURIDAD INFORMATICA (Presupuesto comprometido con vigencias fururas desde 2019)</t>
  </si>
  <si>
    <t>ACTUALIZACIONES CON SOPORTE PARA LA PLATAFORMA DE SISTEMA DE GESTION DOCUMENTAL</t>
  </si>
  <si>
    <t xml:space="preserve">PRESTACION DE SERVICIOS PROFESIONAL ESPECILIZADO EN SEGURIDAD INFORMATICA Y APOYO EN ESTRUCTURACION DE ESTUDIOS </t>
  </si>
  <si>
    <t xml:space="preserve">PRESTACION DE SERVICIOS PROFESIONAL DE INGENIERIA DESARROLLADOR JUNIOR MANTENIMIENTO Y SOPORTE SAIMF </t>
  </si>
  <si>
    <t>SERVICIO DE MANTENIMIENTO Y SOPORTE DEL PORTAL WEB (Presupuesto comprometido con vigencias fururas desde 2019)</t>
  </si>
  <si>
    <t>ADQUISICIÓN, INSTALACIÓN, IMPLEMENTACIÓN Y SOPORTE DE UNA SOLUCIÓN DE SOFTWARE PARA LA ADMINISTRACIÓN DEL SISTEMA DE GESTIÓN DOCUMENTAL ELECTRÓNICO DE ARCHIVO (Presupuesto comprometido con vigencias fururas desde 2019)</t>
  </si>
  <si>
    <t>SUMINISTRO DE COMBUSTIBLE PARA LOS VEHICULOS</t>
  </si>
  <si>
    <t>SUSCRIPCION A INFORMACION Y ACTUALIZACION JURIDICA - LEGIS</t>
  </si>
  <si>
    <t>IMPRESOS Y PUBLICACIONES (Caja menor)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</si>
  <si>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</si>
  <si>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SUMINISTRO DE LUBRICANTE PARA LOS VEHICULOS</t>
  </si>
  <si>
    <t>ADQUISICION DE LLANTAS PARA LOS VEHICULOS DE ICFE</t>
  </si>
  <si>
    <t>ARCHIVADORES RODANTES PARA EL ARCHIVO CENTRAL</t>
  </si>
  <si>
    <t xml:space="preserve">TRANSPORTE DE PASAJEROS (TIQUETES AEREOS) VIATICOS </t>
  </si>
  <si>
    <t xml:space="preserve">TRANSPORTE DE PASAJEROS (TIQUETES TERRESTRES) VIATICOS </t>
  </si>
  <si>
    <t>SERVICIO DE CORREO SERVICIOS PUBLICOS</t>
  </si>
  <si>
    <t>PEAJES (caja menor)</t>
  </si>
  <si>
    <t>CORREO (caja menor)</t>
  </si>
  <si>
    <t>SUMINISTRO ELECTRICIDAD MONOFÁSICA</t>
  </si>
  <si>
    <t>SUMINISTRO GAS NATURAL</t>
  </si>
  <si>
    <t>PRESTACIÓN DE SERVICIOS PROFESIONALES DE UN ABOGADO (A) EN APOYO AL TRÁMITE DE PROCESOS ADMINISTRATIVOS SANCIONATORIOS Y/O DE EJECUCIÓN DE PÓLIZAS EN EL ÁMBITO CONTRACTUAL, A LAS SOLICITUDES PRESENTADAS POR AUTORIDADES ADMINISTRATIVAS, REPRESENTACIÓN JUDICIAL Y OTRAS ACTIVIDADES ASIGNADAS</t>
  </si>
  <si>
    <t>JURUDICA</t>
  </si>
  <si>
    <t>CONTRATOS</t>
  </si>
  <si>
    <t>SERVICIO DE REVISORIA FISCAL</t>
  </si>
  <si>
    <t>PRESTACIÓN DE SERVICIOS PROFESIONALES DE UN ADMINISTRADOR FINANCIERO CON CONOCIMIENTO EN LA ELABORACIÓN DE ESTUDIOS DEL SECTOR Y ESTUDIOS DE MERCADO PARA LOS PROCESOS DE CONTRATACIÓN DEL ICFE</t>
  </si>
  <si>
    <t xml:space="preserve">PRESTACION DE SERVICIOS DE UN AUXILIAR ADMINISTRATIVO, PARA APOYO  AL AREA  DE ALMACEN </t>
  </si>
  <si>
    <t>PRESTACIÓN DE SERVICIOS PROFESIONALES DE UN ABOGADO (A) EN APOYO PARA LA ASESORÍA EN PROCESOS DE CONTRATACIÓN Y DEMÁS ACTUACIONES ADMINISTRATIVAS DEL GRUPO DE ADQUISICIONES DE BIENES Y SERVICIOS DEL ICFE</t>
  </si>
  <si>
    <t>CALIBRACION Y MANTENIMIENTO EQUIPO DE TOPOGRAFIA</t>
  </si>
  <si>
    <t>SERVICIO DE AUDITORIA EXTERNA AL SGC Y SGA</t>
  </si>
  <si>
    <t>SERVICIOS PUBLICOS CUOTA USUARIO</t>
  </si>
  <si>
    <t>SERVICIOS DE TELEFONÍA CELULAR</t>
  </si>
  <si>
    <t>COMUNICACIONES TELEFÓNICAS LOCALES Y DE LARGA DISTANCIA</t>
  </si>
  <si>
    <t>COMUNICACIONES (Caja menor)</t>
  </si>
  <si>
    <t>MANTENIMIENTO PREVENTIVO Y CORRECTIVO A TODO COSTO Y REPUESTOS PARA LOS VEHICULOS DEL ICFE</t>
  </si>
  <si>
    <t>MANTENIMIENTO DE OTROS BIENES Y EQUIPOS (Caja menor)</t>
  </si>
  <si>
    <t>TRANSPORTES</t>
  </si>
  <si>
    <t>FINCA RAIZ</t>
  </si>
  <si>
    <t>PLANEACION</t>
  </si>
  <si>
    <t>AYUDANTIA SUBD</t>
  </si>
  <si>
    <t>SERVICIOS PUBLICOS</t>
  </si>
  <si>
    <t>VIVIENDAS</t>
  </si>
  <si>
    <t xml:space="preserve">SERVICIO DE ACUEDUCTO Y ALCANTARILLADO </t>
  </si>
  <si>
    <t>ALMACEN</t>
  </si>
  <si>
    <t>OTROS MATERIALES Y SUMINISTROS (Caja menor)</t>
  </si>
  <si>
    <t>FINANCIERA</t>
  </si>
  <si>
    <t>SUMINISTRO DE ELEMENTOS DE SEGURIDAD INDUSTRIAL Y DOTACIÓN SST (1 de 4)</t>
  </si>
  <si>
    <t>SUMINISTRO DE ELEMENTOS DE SEGURIDAD INDUSTRIAL Y DOTACIÓN SST (2 de 4)</t>
  </si>
  <si>
    <t>SUMINISTRO DE ELEMENTOS DE SEGURIDAD INDUSTRIAL Y DOTACIÓN SST (3 de 4)</t>
  </si>
  <si>
    <t>SUMINISTRO DE ELEMENTOS DE SEGURIDAD INDUSTRIAL Y DOTACIÓN SST (4 de 4)</t>
  </si>
  <si>
    <t>EQUIPOS DE TRABAJO EN ALTURAS (SST) (1 de 2)</t>
  </si>
  <si>
    <t>EQUIPOS DE TRABAJO EN ALTURAS (SST) (2 de 2)</t>
  </si>
  <si>
    <t>COMPUTADORES DE ESCRITORIO (Cantidad 20)</t>
  </si>
  <si>
    <t>ESCANERS (Cantidad 2)</t>
  </si>
  <si>
    <t>MONITORES CCTV (Cantidad 5)</t>
  </si>
  <si>
    <t>ALMACENAMIENTO TB (Cantidad 8)</t>
  </si>
  <si>
    <t>CAPACITACION EN TOGAF o COBIT (1 persona)</t>
  </si>
  <si>
    <t>CAPACITACION EN WINDOWS SERVER 2016 Y VIRTUALIZACION (2 personas)</t>
  </si>
  <si>
    <t>CAPACITACION EN SGC Y SGA (AUDITORES INTERNOS) (20 personas)</t>
  </si>
  <si>
    <t xml:space="preserve">MAQUINARIA DE INFORMÁTICA Y SUS PARTES, PIEZAS Y ACCESORIOS </t>
  </si>
  <si>
    <t>GESTION DOCUMENTAL</t>
  </si>
  <si>
    <t>Valor techo proyecto de presupuesto 2020</t>
  </si>
  <si>
    <t xml:space="preserve">GABINETES (Cantidad 5) </t>
  </si>
  <si>
    <t>1 mes</t>
  </si>
  <si>
    <t>FOTOPLANO</t>
  </si>
  <si>
    <t>7 meses</t>
  </si>
  <si>
    <t>80111500
81112200</t>
  </si>
  <si>
    <t>56121800
56101700</t>
  </si>
  <si>
    <t>10 meses</t>
  </si>
  <si>
    <t>43171700
43233200</t>
  </si>
  <si>
    <t>12 meses</t>
  </si>
  <si>
    <t>81112500
81111800</t>
  </si>
  <si>
    <t xml:space="preserve">ACTUALIZACION DE TABLAS DE RETENCION DOCUMENTAL, ELABORACION DEL PROGRAMA ESPECIFICO PARA LA GESTION DE DOCUMENTOS ELECTRONICOS DE ARCHIVO </t>
  </si>
  <si>
    <t>81112000
80161506
80101604</t>
  </si>
  <si>
    <t>11meses</t>
  </si>
  <si>
    <t xml:space="preserve">SOPORTE Y MANTENIMINENTO INFRAESTRUCTURA DE SEGURIDAD INFORMATICA </t>
  </si>
  <si>
    <t>6 meses</t>
  </si>
  <si>
    <t>81112200
81111800</t>
  </si>
  <si>
    <t xml:space="preserve">MANTENIMIENTO CORRECTIVO Y PREVENTIVO A TODO COSTO DE LOS COMPUTADORES Y ELEMENTOS DE HARDWARE QUE COMPONEN LA INFRAESTRUCTURA TECNOLOGICA y  RED DE DATOS CON EQUIPOS ACTIVOS Y CENTROS DE CABLEADO  </t>
  </si>
  <si>
    <t>81112300
81111800
81101700</t>
  </si>
  <si>
    <t>5 meses</t>
  </si>
  <si>
    <t>14111500
44103100
44121500
44121600
44121700
44121800
44121900
44122000
44122100</t>
  </si>
  <si>
    <t>SOPORTE Y MANTENIMIENTO DE SISTEMA DIGITURNO</t>
  </si>
  <si>
    <t>SOPORTE Y MANTENIMIENTO DE SISTEMA CALL CENTER</t>
  </si>
  <si>
    <t>72101500
72154000
72151500
81101600
81101700</t>
  </si>
  <si>
    <t>72151500
72151800
73152100</t>
  </si>
  <si>
    <t>LICITACION PUBLICA</t>
  </si>
  <si>
    <t>MINIMA CUANTIA</t>
  </si>
  <si>
    <t>MENOR CUANTIA</t>
  </si>
  <si>
    <t>MANTENIMIENTO PREVENTIVO Y CORRECTIVO A TODO COSTO DE LOS ASCENSORES DE LOS DIFERENTES EDIFICIOS DE VIVIENDAS FISCALES Y SEDE ADMINISTRATIVA EN BOGOTÁ (Presupuesto comprometido con vigencias fururas desde 2019)</t>
  </si>
  <si>
    <t>MANTENIMIENTO PREVENTIVO Y CORRECTIVO A TODO COSTO DE LOS ASCENSORES DE LOS DIFERENTES EDIFICIOS DE VIVIENDAS FISCALES Y SEDE ADMINISTRATIVA EN BOGOTÁ (Para tramitar vigencias futuras del 2021)</t>
  </si>
  <si>
    <t>SI</t>
  </si>
  <si>
    <t>10151900
10161600
10171500
10171700</t>
  </si>
  <si>
    <t>11 meses</t>
  </si>
  <si>
    <t>30171600
30171700
75153000</t>
  </si>
  <si>
    <t>8 meses</t>
  </si>
  <si>
    <t>30191500
30191600</t>
  </si>
  <si>
    <t>46161500
55121700</t>
  </si>
  <si>
    <t>SUMINISTRO DE ELEMENTOS DE SEÑALIZACION METALICA PARA ZONAS COMUNES DE LOS CONJUNTOS RESIDENCIALES DEL ICFE EN BOGOTÁ</t>
  </si>
  <si>
    <t>ADQUISICIÓN DE ESCALERAS TIPO TIJERA Y  DE EXTENSIÓN  PARA EL ICFE</t>
  </si>
  <si>
    <t>2 meses</t>
  </si>
  <si>
    <t>3 meses</t>
  </si>
  <si>
    <t>23101500
27112000
27112700</t>
  </si>
  <si>
    <t>VANTI</t>
  </si>
  <si>
    <t>11111600
11111700
12164900
26121500
26121600
30103600
30111500
30111600
30151500
30151800
30161500
30181600
31161500
31162400
31162800
31211500
39101600
39121700
39122200
40141700</t>
  </si>
  <si>
    <t>SUBASTA INVERSA</t>
  </si>
  <si>
    <t>4 meses</t>
  </si>
  <si>
    <t>CONTRATACION DIRECTA</t>
  </si>
  <si>
    <t>PRESTACION DE SERVICIOS TÉCNICOS DE ORNAMENTACIÓN</t>
  </si>
  <si>
    <t>ORDEN DE COMPRA</t>
  </si>
  <si>
    <t>72101500
72151500
72154000
81141500</t>
  </si>
  <si>
    <t>6  meses</t>
  </si>
  <si>
    <t>72101500
72111100
72141500</t>
  </si>
  <si>
    <t>Interventoria mantenimiento edificio Liborio Mejia- Conjunto Libertadores</t>
  </si>
  <si>
    <t>Interventoria mantenimiento edificio Cazadores- Conjunto Santa Ana</t>
  </si>
  <si>
    <t>Interventoria mantenimiento edificio Ricaurte- Conjunto Artilleria</t>
  </si>
  <si>
    <t>Interventoria mantenimiento  edificio Chaira- Florencia, Caqueta</t>
  </si>
  <si>
    <t>Interventoria mantenimiento edificio Calarca- Ibague, Tolima</t>
  </si>
  <si>
    <t>Estudios preliminares y diseños</t>
  </si>
  <si>
    <t>NO</t>
  </si>
  <si>
    <t>Pasajes terrestres y aereos para visitas a los mantenimientos</t>
  </si>
  <si>
    <t xml:space="preserve">Gastos de alojamiento para personal </t>
  </si>
  <si>
    <t xml:space="preserve">Gastos de alimentacion para personal </t>
  </si>
  <si>
    <t>Caja Menor</t>
  </si>
  <si>
    <t>CAJA MENOR</t>
  </si>
  <si>
    <t>Construccion obra edificio Buenavista - Guajira</t>
  </si>
  <si>
    <t>16 meses</t>
  </si>
  <si>
    <t>Interventoria Construccion edificio Buenavista - Guajira</t>
  </si>
  <si>
    <t>GRUPO PROYECTOS DE INVERSION</t>
  </si>
  <si>
    <t xml:space="preserve">SUBASTA INVERSA </t>
  </si>
  <si>
    <t>14121500 
14111500
14111700</t>
  </si>
  <si>
    <t>9 meses</t>
  </si>
  <si>
    <t>47131800 
47131500
47121700 
47131600 
47121800 
46181500 
14111700</t>
  </si>
  <si>
    <t>SUMINISTRO DE PRODUCTOS DE ASEO Y DE CAFETERÍA PARA EL ICFE (9 de 9)</t>
  </si>
  <si>
    <t>SUMINISTRO DE PRODUCTOS DE ASEO Y DE CAFETERÍA PARA EL ICFE (8 de 9)</t>
  </si>
  <si>
    <t>SUMINISTRO DE PRODUCTOS DE ASEO Y DE CAFETERÍA PARA EL ICFE (7 de 9)</t>
  </si>
  <si>
    <t>SUMINISTRO DE PRODUCTOS DE ASEO Y DE CAFETERÍA PARA EL ICFE (6 de 9)</t>
  </si>
  <si>
    <t>SUMINISTRO DE PRODUCTOS DE ASEO Y DE CAFETERÍA PARA EL ICFE (5 de 9)</t>
  </si>
  <si>
    <t>SUMINISTRO DE PRODUCTOS DE ASEO Y DE CAFETERÍA PARA EL ICFE (4 de 9)</t>
  </si>
  <si>
    <t>SUMINISTRO DE PRODUCTOS DE ASEO Y DE CAFETERÍA PARA EL ICFE  (3 de 9)</t>
  </si>
  <si>
    <t>SUMINISTRO DE PRODUCTOS DE ASEO Y DE CAFETERÍA PARA EL ICFE (2 de 9)</t>
  </si>
  <si>
    <t>SUMINISTRO DE PRODUCTOS DE ASEO Y DE CAFETERÍA PARA EL ICFE (1 de 9)</t>
  </si>
  <si>
    <t>SUMINISTRO Y RECARGA DE EXTINTORES PARA LOS CONJUNTOS RESIDENCIALES DEL ICFE</t>
  </si>
  <si>
    <t>PRESTACIÓN DE SERVICIOS</t>
  </si>
  <si>
    <t>N/A</t>
  </si>
  <si>
    <t>CONCURSO DE MERITOS</t>
  </si>
  <si>
    <t>47131500
47131600
47131700
47131800</t>
  </si>
  <si>
    <t>53131600
73101600</t>
  </si>
  <si>
    <t>24102000
24102100</t>
  </si>
  <si>
    <t>ADQUISICIÓN E INSTALACIÓN DE ELEMENTOS DE ESTANTERÍA PARA EL ALMACEN</t>
  </si>
  <si>
    <t>11 MESES</t>
  </si>
  <si>
    <t>ACUERDO MACRO</t>
  </si>
  <si>
    <t>78111800
78111500
90101500
90111500</t>
  </si>
  <si>
    <t>ACUERDO MARCO</t>
  </si>
  <si>
    <t xml:space="preserve">78181500 26101300
25172000
25173900 
25171700 
26111800   
25173800
40161500   
26112000  
25174000 
25172800  
25171500  
25172400 
26101300
 25172300 
25174800 
31181700  
25172100  
25174200  </t>
  </si>
  <si>
    <t xml:space="preserve">NO </t>
  </si>
  <si>
    <t>MANTENIMIENTO Y CALIBRACION DE INSTRUMENTOS DE MEDICION AMBIENTAL</t>
  </si>
  <si>
    <t>SERVICIOS INMOBILIARIOS</t>
  </si>
  <si>
    <t>SERVICIOS INMOBILIARIOS A COMISIÓN O POR CONTRATO</t>
  </si>
  <si>
    <t>SERVICIOS DE ADMINISTRACIÓN DE BIENES INMUEBLES A COMISIÓN O POR CONTRATO</t>
  </si>
  <si>
    <t>ADMINISTRACIONES DE CONJUNTOS RESIDENCIALES</t>
  </si>
  <si>
    <t>24 meses</t>
  </si>
  <si>
    <t>CONTRIBUCION DE VALORIZACION MUNICIPAL</t>
  </si>
  <si>
    <t>VALORIZACION</t>
  </si>
  <si>
    <t>SUMINISTRO DE ELEMENTOS DE PAPELERÍA, ÚTILES DE ESCRITORIO Y OFICINA (INCLUYE ELEMENTO DE ARCHIVO), PARA LAS SECCIONALES A NIVEL NACIONAL</t>
  </si>
  <si>
    <t>PRESTACION DE SERVICIOS TÉCNICOS DE CARPINTERÍA</t>
  </si>
  <si>
    <t>VALOR VIGENCIA 2020</t>
  </si>
  <si>
    <t>entrega de estudios tecnicos a contratos</t>
  </si>
  <si>
    <t xml:space="preserve">5 meses </t>
  </si>
  <si>
    <t>ESTUDIO Y ELABORACIÓN DEL CALCULO ACTUARIAL</t>
  </si>
  <si>
    <t>SUBASTA INVERSA 
ACUERDO MARCO</t>
  </si>
  <si>
    <t>2 mes</t>
  </si>
  <si>
    <t>07 meses</t>
  </si>
  <si>
    <t>Estudio de suelos</t>
  </si>
  <si>
    <t>Mantenimiento edificio Liborio Mejia- Conjunto Libertadores (34 de 60 Aptos)</t>
  </si>
  <si>
    <t>Mantenimiento edificio Cazadores- Conjunto Santa Ana (21 de 35 Aptos)</t>
  </si>
  <si>
    <t>Mantenimiento edificio Ricaurte- Conjunto Artilleria (6 de 10 Aptos)</t>
  </si>
  <si>
    <t>Mantenimiento edificio Chaira- Florencia, Caqueta (20 Aptos)</t>
  </si>
  <si>
    <t>Mantenimiento edificio Calarca- Ibague, Tolima (20 Aptos)</t>
  </si>
  <si>
    <t>Mantenimiento apartamentos edificio Los Guanes - Bucaramanga, Santander (2 Aptos)</t>
  </si>
  <si>
    <t>PRESTACIÓN DE SERVICIOS PROFESIONALES DE UN ABOGADO (A) EN APOYO A PROCESOS DE CONTRATACION, DEMANADAS JUDICIALES, PROCESOS DE USUARIOS, APOYO  DISCIPLINARIOS Y DERECHOS DE PETICION.</t>
  </si>
  <si>
    <t xml:space="preserve">ADQUISICIÓN DE BIENES Y SERVICIOS </t>
  </si>
  <si>
    <t xml:space="preserve">SERVICIOS DE SEGUROS SOCIALES DE SALUD Y RIESGOS LABORALES </t>
  </si>
  <si>
    <t xml:space="preserve">PAGO ARL PARA PRESTADORES DE SERVICIOS RIESGO 5: TECNICOS, PINTORES Y OFICIALES DE CONSTRUCCION </t>
  </si>
  <si>
    <t>Interventoria modernizacion, ajuste a la norma y certificcion de los ascensores de las viviendas fiscales</t>
  </si>
  <si>
    <t>CDP</t>
  </si>
  <si>
    <t>FECHA CDP</t>
  </si>
  <si>
    <t>VALOR INICIAL CDP</t>
  </si>
  <si>
    <t>VALOR ACTUAL CDP</t>
  </si>
  <si>
    <t>VALOR TOTAL CONTRATADO - CRP (COMPROMISO)</t>
  </si>
  <si>
    <t xml:space="preserve"> PRESUPUESTO SIN COMPROMETER 
(SIN CDP)</t>
  </si>
  <si>
    <t>VALOR DEL CDP A LIBERAR DESPUES DEL CONTRATO</t>
  </si>
  <si>
    <t>PRESTACIÓN DE SERVICIOS TECNICOS EN APOYO A LA GESTIÓN PARA EL MANTENIMIENTO DEL SISTEMA INTEGRADO DE GESTION CONFORME AL SISTEMA DE GESTION DE CALIDAD, EN RELACION CON MIPG.</t>
  </si>
  <si>
    <t xml:space="preserve"> PRESUPUESTO DISPONIBLE
(DESPUES DEL CONTRATO Y LIBERADO EL CDP) </t>
  </si>
  <si>
    <t>1220-2220</t>
  </si>
  <si>
    <t>3/01/2020              08/01/2020</t>
  </si>
  <si>
    <t>17/01/2020 22/01/2020 24/01/2020 30/01/2020</t>
  </si>
  <si>
    <t>2620-2720-2820</t>
  </si>
  <si>
    <t>ADQUISICIÓN DE MAQUINARIA Y HERRAMIENTA PARA EL ICFE</t>
  </si>
  <si>
    <t xml:space="preserve"> </t>
  </si>
  <si>
    <t xml:space="preserve">MANTENIMIENTO PREVENTIVO Y CORRECTIVO A TODO COSTO DE LOS CUARTOS DE MAQUINAS Y LAS MOTOBOMBAS DE LAS VIVIENDAS FISCALES A NIVEL NACIONAL </t>
  </si>
  <si>
    <t>10920 -12320 -16320-21420-309</t>
  </si>
  <si>
    <t>4/02/2020
10/02/2020
26/02/2020
26/03/2020
27/05/2020</t>
  </si>
  <si>
    <t>10920-12320-16320-21420-26020-30920</t>
  </si>
  <si>
    <t>3103-2020</t>
  </si>
  <si>
    <t>10920-12320-16320-21420-26020</t>
  </si>
  <si>
    <t>04/2/2020
10/02/2020
26/02/2020
23/03/2020
27/04/2020</t>
  </si>
  <si>
    <t>10920-12320-16320-21420+30920</t>
  </si>
  <si>
    <t>04/02/2020
10/02/2020
26/02/2020
26/03/2020
27/05/2020</t>
  </si>
  <si>
    <t>4320-4420-9320-9520-9820-11120-11220-11520-14020-14320-15220-15620-17020-18320-18420-21720-22420-22620-23820-24120-24420-25820-26420-27120-27820-28920-29520-29920-30020-30220-30620-30720-32020</t>
  </si>
  <si>
    <t>4220-4620-4720-5320-5520-6720-7220-7320-7520-8320-9420-9620-9720-10020-10320-11020-11320-11620-11720-12220-12720-13620-13720-13920-14220-15120-15420-16020-17120-17320-18820-19520-19820-20220-20520-20720-22220-22720-23420-23520-23720-24220-24520-24720-25320-25920-26520-26620-26820-27220-27920-28120-28220-28520-29020-29220-29620-29720-29820-30520-31120-31220-31620-32120</t>
  </si>
  <si>
    <t>6620-15020-22120</t>
  </si>
  <si>
    <t>21/01/2020
25/02/2020
01/04/2020</t>
  </si>
  <si>
    <t>4/02/2020
10/02/2020
26/02/2020
26/03/2020
27/04/2020</t>
  </si>
  <si>
    <t>4920-5020-5220-5420-5620-8120-8420-9020-9220-9920-10420-11320-11420-13720-14120-14220-15320-15520-15720-17220-17420-18520-18720-18820-19920-20420-21220-21320-22220-22320-22820-22920-23320-23620-24320-25720-26720-27020-27520-28020-28220-28320-28620-28720-28820-30120-30320-30420-31020-31220-31920</t>
  </si>
  <si>
    <t>4020-19220</t>
  </si>
  <si>
    <t>14/01/2020
09/03/2020</t>
  </si>
  <si>
    <t>5120-12820-12920-19720-27620-27720</t>
  </si>
  <si>
    <t>17/01/2020
11/02/2020
17/03/2020
13/05/2020</t>
  </si>
  <si>
    <t>7820-16520-16620</t>
  </si>
  <si>
    <t>22/01/2020
27/02/2020
27/02/2020</t>
  </si>
  <si>
    <t>4220-4320-4420-4520-4920-5420-5520-5620-6720-6920-7020-7120-7220-7320-7420-7520-8120-8220-8320-8420-9220-9420-9520-9620-9720-9820-9920-10020-10220-10420-11020-11120-11420-11520-11720-12120-12220-12720-13620-13720-13920-14020-14120-14220-14320-15220-15420-15520-15620-15720-16020-17020-17120-17220-17320-17420-18020-18120-18220-18320-18620-18720-19520-19820-19920-20220-20320-20420-20520-20620-20720-21220-22220-22620-22720-22820-22920-23320-23420-23520-23620-23720-23820-24120-24220-24320-24420-24520-24620-24720-25320-25420-25520-25620-25720-25820-25920-26420-26520-26620-26720-26820-26920-27020-27220-27520-27920-28220-28320-28420-28720-28820-29020-29520-29720-29820-29920-30020-30420-30520-30720-31020-31120-31920-32120</t>
  </si>
  <si>
    <t>7620-7720-11920-12020-13020-13120-13220-13820-14520-16820-16920-17520-17620-17720-18920-19020-19120-19420</t>
  </si>
  <si>
    <t>22/01/2020
07/02/2020
11/02/2020
18/02/2020
21/02/2020
27/02/2020
03/03/2020
04/03/2020
09/03/2020
10/03/2020</t>
  </si>
  <si>
    <t>4820-20020-20120-29120</t>
  </si>
  <si>
    <t>16/01/2020
17/03/2020
21/05/2020</t>
  </si>
  <si>
    <t xml:space="preserve"> PRESUPUESTO DISPONIBLE
(DESPUES DEL CONTRATO SIN LIBERADO EL CDP)</t>
  </si>
  <si>
    <t>SUBDIRECCION INMUEBLES</t>
  </si>
  <si>
    <t>MANTENIMIENTO PREVENTIVO Y CORRECTIVO A TODO COSTO DE LAS PLANTAS ELECTRICAS DE LAS VIVIENDAS FISCALES DE BOGOTÁ</t>
  </si>
  <si>
    <t>MANTENIMIENTO PREVENTIVO Y CORRECTIVO A TODO COSTO DE LOS CUARTOS DE MAQUINAS Y LAS MOTOBOMBAS DE LAS VIVIENDAS FISCALES A NIVEL NACIONAL</t>
  </si>
  <si>
    <t xml:space="preserve">SERVICIOS DE INVESTIGACIÓN Y SEGURIDAD </t>
  </si>
  <si>
    <t>Valor techo proyecto de presupuesto 2021</t>
  </si>
  <si>
    <t>VEHÍCULOS AUTOMOTORES, REMOLQUES Y SEMIRREMOLQUES; Y SUS PARTES, PIEZAS Y ACCESORIOS</t>
  </si>
  <si>
    <t>EQUIPO DE TRANSPORTE</t>
  </si>
  <si>
    <t>OTROS PRODUCTOS PLÁSTICOS</t>
  </si>
  <si>
    <t>GESTION INTEGRAL</t>
  </si>
  <si>
    <t xml:space="preserve">TRANSPORTES </t>
  </si>
  <si>
    <t>SOPORTE Y MANTENIMINENTO INFRAESTRUCTURA DE SEGURIDAD INFORMATICA (Presupuesto comprometido con vigencias fururas desde 2020)</t>
  </si>
  <si>
    <t>CANAL DEDICADO A INTERNET (SERVICIO DE CONECTIVIDAD A INTERNET Y ENLACE DEDICADO DE DATOS) (Presupuesto comprometido con vigencias fururas desde 2020)</t>
  </si>
  <si>
    <t>CANAL DEDICADO A INTERNET (SERVICIO DE CONECTIVIDAD A INTERNET Y ENLACE DEDICADO DE DATOS) (Para tramitar vigencias futuras del 2022)</t>
  </si>
  <si>
    <t>MANTENIMIENTO PREVENTIVO Y CORRECTIVO A TODO COSTO DE LOS ASCENSORES DE LOS DIFERENTES EDIFICIOS DE VIVIENDAS FISCALES Y SEDE ADMINISTRATIVA EN BOGOTÁ (Para tramitar vigencias futuras del 2022)</t>
  </si>
  <si>
    <t>SUMINISTRO DE ELEMENTOS DE FERRETERÍA Y OTROS MATERIALES PARA EL MANTENIMIENTO DE LAS VIVIENDAS FISCALES Y SUS ÁREAS COMUNES EN CIUDAD DE BOGOTÁ (Presupuesto comprometido con vigencias fururas desde 2020)</t>
  </si>
  <si>
    <t>SUMINISTRO DE ELEMENTOS DE FERRETERÍA Y OTROS MATERIALES PARA EL MANTENIMIENTO DE LAS VIVIENDAS FISCALES Y SUS ÁREAS COMUNES EN CIUDAD DE BOGOTÁ (Para tramitar vigencias futuras del 2022)</t>
  </si>
  <si>
    <t>MANTENIMIENTO PREVENTIVO Y CORRECTIVO A TODO COSTO DE LOS ASCENSORES DE LOS DIFERENTES EDIFICIOS DE VIVIENDAS FISCALES EN BOGOTÁ (Para tramitar vigencias futuras del 2022)</t>
  </si>
  <si>
    <t>PLAN ANUAL DE ADQUISICIONES VIGENCIA 2021 - ICFE</t>
  </si>
  <si>
    <t>¿Se requieren vigencias futuras del 2022?</t>
  </si>
  <si>
    <t>VALOR VIGENCIA 2021</t>
  </si>
  <si>
    <t>PRESTACIÓN DE SERVICIOS DE UN AUXILIAR ADMINISTRATIVO, PARA APOYO A LA OFICINA DE ALMACÉN DEL INSTITUTO DE CASAS FISCALES DEL EJÉRCITO</t>
  </si>
  <si>
    <t>CONTROL INTERNO</t>
  </si>
  <si>
    <t>TÉCNICO PARA APOYO A GESTIÓN DOCUMENTAL EN ORGANIZACIÓN ARCHIVO CENTRAL - DIGITALIZACIÓN Y ACTIVIDADES RELACIONADAS</t>
  </si>
  <si>
    <t>SERVICIOS JURIDICOS DE UN ABOGA PARA ASISITIR A LOS COMITÉS, EN LA PRESENTACION DE INFORMES DE LEY Y EN CONCEPTOS INHERENTES A CONTROL INTERNO</t>
  </si>
  <si>
    <t>46191500
46191600
72101500</t>
  </si>
  <si>
    <t>MENOR CUANTÍA</t>
  </si>
  <si>
    <t>12 Meses</t>
  </si>
  <si>
    <t>7 Meses</t>
  </si>
  <si>
    <t>11 Meses</t>
  </si>
  <si>
    <t>03 Meses</t>
  </si>
  <si>
    <t>46181500
46181600
46181700
46181800
46181900
46182000
53102700
53111500</t>
  </si>
  <si>
    <t xml:space="preserve">MINIMA CUANTÍA </t>
  </si>
  <si>
    <t>04 Meses</t>
  </si>
  <si>
    <t>06 Meses</t>
  </si>
  <si>
    <t>42172001
42311511 
42311505 
42181501 
42182206 
42311518 
44121618 
42311520 
42132201
42312313 
51102702 
42131606</t>
  </si>
  <si>
    <t>46191600
24112400
30162300
46171600
46191500</t>
  </si>
  <si>
    <t xml:space="preserve">MENOR CUANTÍA </t>
  </si>
  <si>
    <t>02 Meses</t>
  </si>
  <si>
    <t>MINIMA CUANTÍA</t>
  </si>
  <si>
    <t>SERVICIO DE INSPECCIÓN CERTIFICADA PARA EQUIPOS PARA TRABAJO SEGURO EN ALTURAS (Incluye mantenimiento de los equipos)</t>
  </si>
  <si>
    <t xml:space="preserve">EXAMENES MÉDICOS, VACUNACIÓN Y LABORATORIOS </t>
  </si>
  <si>
    <t>RECIPIENTES DE PLASTICO PARA DISPOSICIÓN DE RESIDUOS</t>
  </si>
  <si>
    <t xml:space="preserve">03 Meses </t>
  </si>
  <si>
    <t>5 MESES</t>
  </si>
  <si>
    <t>PRESTACIÓN DE SERVICIOS PROFESIONALES APLICACIÓN BATERIA RIESGO PSICOSOCIAL FUCIONARIOS ICFE</t>
  </si>
  <si>
    <t>05 Meses</t>
  </si>
  <si>
    <t xml:space="preserve">GESTIÓN INTEGRAL </t>
  </si>
  <si>
    <t>KIT CONTRA INCENDIO SEDE ICFE</t>
  </si>
  <si>
    <t xml:space="preserve">KIT DE DERRAMES, CONTROL DE EMERGENCIAS </t>
  </si>
  <si>
    <t xml:space="preserve">SUMINISTRO Y RECARGA DE EXTINTORES </t>
  </si>
  <si>
    <t>23101500
23241500
23271400
27111500
27112700</t>
  </si>
  <si>
    <t xml:space="preserve">ADQUISICION DE  MAQUINARIA  PARA EL INSTITUTO DE CASAS FISCALES DEL EJÉRCITO </t>
  </si>
  <si>
    <t>14111500
14111800
30201500
43201800
44101700
44103100
44121600
44121700
44121800
44121900
44122000
44122100</t>
  </si>
  <si>
    <t>08 Meses</t>
  </si>
  <si>
    <t xml:space="preserve">MANTENIMIENTO PREVENTIVO Y CORRECTIVO A TODO COSTO DE LAS PLANTAS ELECTRICAS UBICADAS EN LOS CONJUNTOS RESIDENCIALES Y SU SEDE ADMINISTRATIVA EN LA CIUDAD DE BOGOTÁ </t>
  </si>
  <si>
    <t>MANTENIMIENTO PREVENTIVO Y CORRECTIVO A TODO COSTO DE LOS CUARTOS DE MAQUINAS Y LAS MOTOBOMBAS DE LAS SECCIONALES DEL INSTITUTO DE CASAS FISCALES DEL EJERCITO A NIVEL NACIONAL Y SU SEDE ADMINISTRATIVA EN LA CIUDAD DE BOGOTA</t>
  </si>
  <si>
    <t>SUMINISTRO DE PLANTAS EXTERIORES E INSUMOS PARA JARDÍN DE LOS CONJUNTOS RESIDENCIALES DE LA GUARNICIÓN BOGOTÁ</t>
  </si>
  <si>
    <t>SUMINISTRO DE COMBUSTIBLE PARA PLANTAS ELECTRICAS, GUADAÑAS Y MAQUINARIAPARA EL MANTENIMIENTO DE LAS VIVIENDAS FISCALES EN LA CIUDAD DE BOGOTA</t>
  </si>
  <si>
    <t>10  meses</t>
  </si>
  <si>
    <t>SUMINISTRO E INSTALACIÓN DE VIDRIOS CRUDOS, TEMPLADOS Y CARPINTERÍA EN ALUMINIO  PARA EL MANTENIMIENTO  DE LAS VIVIENDAS FISCALES DEL ICFE</t>
  </si>
  <si>
    <t>PRESTACION DE SERVICIOS TÉCNICOS DE INSTALACIONES DE GAS DOMICILIARIAS PARA LAS VIVIENDAS FISCALES DEL ICFE</t>
  </si>
  <si>
    <t>PRESTACION DE SERVICIOS TÉCNICOS DE CARPINTERÍA EN ALUMINIO</t>
  </si>
  <si>
    <t>SERVICIOS DE SERVICIOS TÉCNCOS DE EBANISTERÍA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</si>
  <si>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</si>
  <si>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</si>
  <si>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PRESTACIÓN DE SERVICIOS PROFESIONALES Y DE APOYO A LA GESTIÓN EN LA SECCIÓN DE MANTENIMIENTO, EN TEMAS TÉCNICOS Y PRONÓSTICOS PARA LA ESTRUCTURACIÓN DE LOS PROCESOS DE CONTRATACIÓN PUBLICA</t>
  </si>
  <si>
    <t>SERVICIOS DE EXTERMINACIÓN DE ROEDORES Y CONTROL QUÍMICO DE VECTORES DE LOS CONJUNTOS RESIDENCIALES DE LA GUARNICIÓN BOGOTÁ</t>
  </si>
  <si>
    <t>SERVICIOS DE LIMPIEZA Y ASEO DE AREAS COMUNES DE VIVIENDAS FISCALES DE LAS SECCIONALES BOGOTA, , BUCARAMANGA, CALI, TOLEMAIDA Y VILLAVICENCIO</t>
  </si>
  <si>
    <t>SERVICIO DE MANTENIMIENTO CORRECTIVO Y PREVENTIVO A TODO COSTO DE MAQUINARIA Y HERRAMIENTAS DE LA SECCIÓN DE MANTENIMIENTO</t>
  </si>
  <si>
    <t>06 meses</t>
  </si>
  <si>
    <t>Construccion edificio Buenavista - Guajira</t>
  </si>
  <si>
    <t>febrero</t>
  </si>
  <si>
    <t>Licitacion Publica</t>
  </si>
  <si>
    <t>Concurso de Meritos</t>
  </si>
  <si>
    <t>Construccion edificios en Nilo - Cundinamarca</t>
  </si>
  <si>
    <t>Interventoria Construccion edificios en Nilo - Cundinamarca</t>
  </si>
  <si>
    <t>Construccion edificios en Larandia - Caquetá</t>
  </si>
  <si>
    <t>Interventoria Construccion edificios en Larandia - Caquetá</t>
  </si>
  <si>
    <t>enero</t>
  </si>
  <si>
    <t>Contratacion directa</t>
  </si>
  <si>
    <t xml:space="preserve">Pasajes terrestres o aereos para viajes a las seccionales de los mantenimeintos </t>
  </si>
  <si>
    <t>Febrero</t>
  </si>
  <si>
    <t>Enero</t>
  </si>
  <si>
    <t>Mantenimiento edificio Liborio Mejia- Conjunto Libertadores</t>
  </si>
  <si>
    <t>Mantenimiento edificio Cazadores- Conjunto Santa Ana</t>
  </si>
  <si>
    <t>marzo</t>
  </si>
  <si>
    <t xml:space="preserve">4 meses </t>
  </si>
  <si>
    <t>Independizacion de servicios publicos viviendas fiscales</t>
  </si>
  <si>
    <t>12 MESES</t>
  </si>
  <si>
    <t>84131500
84131700</t>
  </si>
  <si>
    <t>08 meses</t>
  </si>
  <si>
    <t>APOYO Y ASESORÍA EN EL TRÁMITE DE DEBIDOS PROCESOS ADMINISTRATIVOS SANCIONATORIOS DE USUARIOS DE VIVIENDA FISCAL Y EN RESPUESTA A SOLICITUDES Y DERECHOS DE PETICIÓN DE LA ADMINISTRACIÓN DE VIVIENDAS.</t>
  </si>
  <si>
    <t xml:space="preserve">PRESTACION DE SERVICIOS PROFESIONAL ESPECILIZADO EN SEGURIDAD INFORMATICA </t>
  </si>
  <si>
    <t xml:space="preserve">PRESTACION DE SERVICIOS PROFESIONAL DE INGENIERIA DESARROLLADOR SENIOR </t>
  </si>
  <si>
    <t xml:space="preserve">SOPORTE Y MANTENIMINENTO DE FABRICA FORTINET, KASPERKY Y SWITCH (Para tramitar vigencias futuras del 2022) </t>
  </si>
  <si>
    <t xml:space="preserve">SERVICIO DE SOPORTE  Y  MEJORAS A LOS SISTEMAS DE INFORMACION DEL ICFE </t>
  </si>
  <si>
    <t>ADQUISICION  DE VEHICULO DE TRANSPORTE  DE PRODUCTOS Y MATERIALES</t>
  </si>
  <si>
    <t>2 MESES</t>
  </si>
  <si>
    <t xml:space="preserve">78181500 
26101300
25172000
25173900 
25171700 
26111800   
25173800
40161500   
26112000  
25174000 
25172800  
25171500  
25172400 
26101300
 25172300 
25174800 
31181700  
25172100  
25174200  </t>
  </si>
  <si>
    <t>AYUDANTIA SUBD ADM Y F</t>
  </si>
  <si>
    <t>SUMINISTRO DE PRODUCTOS DE ASEO Y DE CAFETERÍA PARA EL ICFE (1 de 8)</t>
  </si>
  <si>
    <t>SUMINISTRO DE PRODUCTOS DE ASEO Y DE CAFETERÍA PARA EL ICFE  (2de 8)</t>
  </si>
  <si>
    <t>SUMINISTRO DE PRODUCTOS DE ASEO Y DE CAFETERÍA PARA EL ICFE  (3 de 8)</t>
  </si>
  <si>
    <t>SUMINISTRO DE PRODUCTOS DE ASEO Y DE CAFETERÍA PARA EL ICFE (4 de 8)</t>
  </si>
  <si>
    <t>SUMINISTRO DE PRODUCTOS DE ASEO Y DE CAFETERÍA PARA EL ICFE (5de 8)</t>
  </si>
  <si>
    <t>SUMINISTRO DE PRODUCTOS DE ASEO Y DE CAFETERÍA PARA EL ICFE (6 de 8)</t>
  </si>
  <si>
    <t>SEÑALIZACIÓN (SEÑALIZACION, ETIQUETAS Y PLANOS)</t>
  </si>
  <si>
    <t>SUMINISTRO DE PRODUCTOS DE ASEO Y DE CAFETERÍA PARA EL ICFE (7 de 8)</t>
  </si>
  <si>
    <t>SUMINISTRO DE PRODUCTOS DE ASEO Y DE CAFETERÍA PARA EL ICFE (8 de 8)</t>
  </si>
  <si>
    <t xml:space="preserve">76101501
761115000
76121900
73101600
</t>
  </si>
  <si>
    <t>PREVENCIÓN COVID (INCLUYE ALCOHOL Y GEL)</t>
  </si>
  <si>
    <t xml:space="preserve">08 Meses </t>
  </si>
  <si>
    <t>TOTAL</t>
  </si>
  <si>
    <t>Mes publicación de borradores en el SECOP II</t>
  </si>
  <si>
    <t>Junio</t>
  </si>
  <si>
    <t>Abril</t>
  </si>
  <si>
    <t>Marzo</t>
  </si>
  <si>
    <t>Mayo</t>
  </si>
  <si>
    <t>Agosto</t>
  </si>
  <si>
    <t>Septiembre</t>
  </si>
  <si>
    <t>Octubre</t>
  </si>
  <si>
    <t>Julio</t>
  </si>
  <si>
    <t>Noviembre</t>
  </si>
  <si>
    <t>Facturación</t>
  </si>
  <si>
    <t>Contratación directa</t>
  </si>
  <si>
    <t>Fecha estimada entrega de soportes a Contratos</t>
  </si>
  <si>
    <t>SERVICIOS DE CONSTRUCCIÓN- 51.700.000-25.850.000-25.850.000-579.700.000-77.550.000-314.600.000</t>
  </si>
  <si>
    <t>PRESTACIÓN DE SERVICIOS TECNOLOGICOS DE APOYO A LA GESTIÓN PARA REALIZAR “PARA LA IMPLEMENTACIÓN DEL SISTEMA DE CALIDAD -AMBIENTAL  CON OTROS SISTEMAS DE GESTIÓN DEL ICFE</t>
  </si>
  <si>
    <t>Interventoría Construcción edificios en San José del Guaviare - Guaviare</t>
  </si>
  <si>
    <t xml:space="preserve">Construcción edificios en San José del Guaviare - Guaviare </t>
  </si>
  <si>
    <t>Mantenimiento apartamentos edificio Pore - Yopal, Casanare</t>
  </si>
  <si>
    <t>Interventoría mantenimiento apartamentos edificio Pore - Yopal, Casanare</t>
  </si>
  <si>
    <t xml:space="preserve">Mantenimiento apartamentos edificio Ricaurte - Conjunto Artillería, Bogotá </t>
  </si>
  <si>
    <t xml:space="preserve">MANTENIMIENTO PREVENTIVO Y CORRECTIVO A TODO COSTO DE LOS ASCENSORES QUE SE ENCUENTRAN INSTALADOS EN LOS DIFERENTES EDIFICIOS DE CASAS FISCALES DEL EJERCITO Y SU SEDE ADMINISTRATIVA EN LA CIUDAD DE BOGOTÁ
</t>
  </si>
  <si>
    <t>MANTENIMIENTO PREVENTIVO Y CORRECTIVO A TODO COSTO DE LOS ASCENSORES DE LOS DIFERENTES EDIFICIOS DE VIVIENDAS FISCALES EN BOGOTÁ</t>
  </si>
  <si>
    <t>Contrato interadministrativo</t>
  </si>
  <si>
    <t>Pasajes terrestres o aereos para viajes a las seccionales de los mantenimientos</t>
  </si>
  <si>
    <t>Selección abreviada de menor cuantia</t>
  </si>
  <si>
    <t xml:space="preserve">SERVICIOS DE LIMPIEZA-MANTENIMIENTO </t>
  </si>
  <si>
    <t>BOLSA DE REPUESTOS PARA EL MANTENIMIENTO CORRECTIVO Y PREVENTIVO A TODO COSTO DE LOS COMPUTADORES Y ELEMENTOS DE HARDWARE QUE COMPONEN LA INFRAESTRUCTURA TECNOLÓGICA Y RED DE DATOS CON EQUIPOS ACTIVOS Y CENTROS DE CABLEADO.</t>
  </si>
  <si>
    <t>PRODUCTOS QUÍMICOS BÁSICOS DIVERSOS</t>
  </si>
  <si>
    <t>GRAN TOTAL P.A.A 2021</t>
  </si>
  <si>
    <t>Estudio de suelos y resistividad de terreno para la construcción de edificio en San José del
Guaviare.</t>
  </si>
  <si>
    <t>SERVICIO DE MANTENIMIENTO CORRECTIVO Y PREVENTIVO A TODO COSTO DE SISTEMA HIDRONEUMATICO, CONTRA INCENDIO Y VENTILACIÓN MECANICA DEL EDIFICIO DE TALLERES DEL ICFE.</t>
  </si>
  <si>
    <t>LAVADO Y DESINFECCIÓN DE TANQUES DE AGUA POTABLE DE LAS VIVIENDAS FISCALES A NIVEL NACIONAL</t>
  </si>
  <si>
    <t>11321-19821-29321-39021</t>
  </si>
  <si>
    <t>19721-20321-20421-15321-15421</t>
  </si>
  <si>
    <t>17521-17621-17721-19021-19621-23021-23821-23921-24021-25321-25421-28521-28721-29121-33321</t>
  </si>
  <si>
    <t>9921-24321-31021-43221-43321</t>
  </si>
  <si>
    <t>09/02/2021
26/03/2021</t>
  </si>
  <si>
    <t>18121-19121-19221-22521-27821-32321-42621</t>
  </si>
  <si>
    <t>ADICION CONTRATO No. 147 DE 2020 -SUMINISTRODE ELEMENTOS DE FERRETERIA CONSTRUCCIÓN PARA ATENDER EL MANTENIMIENTO PREVENTIVO Y
CORRECTIVO DE LAS VIVIENDAS FISCALES Y SUS
ÁREAS COMUNES EN LA CIUDAD DE BOGOTA</t>
  </si>
  <si>
    <t>Valor total incluido vigencias futuras 2022</t>
  </si>
  <si>
    <t xml:space="preserve">MENOR CUANTIA </t>
  </si>
  <si>
    <t>MANTENIMIENTO PREVENTIVO Y CORRECTIVO A TODO COSTO DE LOS CUARTOS DE MAQUINAS Y LAS MOTOBOMBAS DE LAS SECCIONALES DEL INSTITUTO DE CASAS FISCALES DEL EJERCITO A NIVEL NACIONAL Y SU SEDE ADMINISTRATIVA EN LA CIUDAD DE BOGOTA (Para tramitar vigencias futuras del 2022)</t>
  </si>
  <si>
    <t>MANTENIMIENTO PREVENTIVO Y CORRECTIVO A TODO COSTO DE LOS CUARTOS DE MAQUINAS Y LAS MOTOBOMBAS DE LAS VIVIENDAS FISCALES A NIVEL NACIONAL (Para tramitar vigencias futuras del 2022)</t>
  </si>
  <si>
    <t>46181500
46181600
46181700
46181800
46181900
46182000
53102700
53111500 55121700  82101500  55121600  55121500</t>
  </si>
  <si>
    <t>1  Mese</t>
  </si>
  <si>
    <t>VALOR A LIBERAR INFORMATICA</t>
  </si>
  <si>
    <t>ASESORIA DE PLANEACIÓN</t>
  </si>
  <si>
    <t>3 Meses</t>
  </si>
  <si>
    <t>MÍNIMA CUANTÍA</t>
  </si>
  <si>
    <t xml:space="preserve">COMPUTADORES DE ESCRITORIO (Cantidad 10) </t>
  </si>
  <si>
    <t>MODERNIZACIÓN, AJUSTE A LA NORMA Y CERTIFICACIÓN DE LOS ASCENSORES DE LAS VIVIENDAS FISCALES.</t>
  </si>
  <si>
    <t>621-60021</t>
  </si>
  <si>
    <t>36121-54421</t>
  </si>
  <si>
    <t>RUBRO</t>
  </si>
  <si>
    <t xml:space="preserve">  </t>
  </si>
  <si>
    <t>SERVICIO DE VIGILANCIA Y SEGURIDAD PRIVADA SIN
ARMAS PARA LOS CONJUNTOS RESIDENCIALES
“HEROES DE COLOMBIA” EN LA CIUDAD DE BOGOTÁ (Para tramitar vigencias futuras del 2022)</t>
  </si>
  <si>
    <t>septiembre</t>
  </si>
  <si>
    <t>86101700 81141804</t>
  </si>
  <si>
    <t>86101700                                         81141800</t>
  </si>
  <si>
    <t>SERVICIO DE VIGILANCIA Y SEGURIDAD PRIVADA SIN ARMAS PARA LOS CONJUNTOS RESIDENCIALES “HEROES DE COLOMBIA” Y "LOS LIBERTADORES"  EN LA CIUDAD DE BOGOTÁ</t>
  </si>
  <si>
    <t>178/08/2021</t>
  </si>
  <si>
    <t xml:space="preserve">SI </t>
  </si>
  <si>
    <t xml:space="preserve">PRESTACIÓN DE SERVICIOS PARA LA ELABORACIÓN DE PLANES Y PROGRAMAS DE CONSERVACIÓN DOCUMENTAL (SIC) DEL INSTITUTO DE CASAS FISCALES DEL EJÉRCITO.
</t>
  </si>
  <si>
    <t>DETALLE P.A.A</t>
  </si>
  <si>
    <t>CONCEPTO</t>
  </si>
  <si>
    <t>SALDOS</t>
  </si>
  <si>
    <t>VALORES A CONTRATAR</t>
  </si>
  <si>
    <t>DISPONIBLE</t>
  </si>
  <si>
    <t>A-02-01</t>
  </si>
  <si>
    <t>MAQUINARIA, EQUIPO, OTROS ACTIVOS FIJOS</t>
  </si>
  <si>
    <t>Elementos para Archivo Central ICFE</t>
  </si>
  <si>
    <t>A-02-02</t>
  </si>
  <si>
    <t>AGRICULTURA, SILVICULTURA Y PRODUCTOS DE LA PESCA (Aseso, cafeteria, dotación, SST, llantas, OPS adtivos, Licencias)</t>
  </si>
  <si>
    <t>Bienestar Institucional</t>
  </si>
  <si>
    <t>Adiciones a OPS</t>
  </si>
  <si>
    <t>Ascensores ICFE</t>
  </si>
  <si>
    <t>A-05-01</t>
  </si>
  <si>
    <t>OTROS BIENES TRANSPORTABLES (EXCEPTO PTOS METALICOS Y MAQUINARIA) (ops mantenimiento y otros)</t>
  </si>
  <si>
    <t>Parques Infantiles</t>
  </si>
  <si>
    <t>Andamios certificados</t>
  </si>
  <si>
    <t>Reductores de velocidad</t>
  </si>
  <si>
    <t>Sistemas de acceso peatonal y vehicular</t>
  </si>
  <si>
    <t>OPSMantenimiento (Adición a contratos)</t>
  </si>
  <si>
    <t>Ascensores nacional</t>
  </si>
  <si>
    <t>Aseo áreas comunes</t>
  </si>
  <si>
    <t>Administraciones Conjuntos residenciales</t>
  </si>
  <si>
    <t>GRAN TOTAL</t>
  </si>
  <si>
    <t>PRESTAR CON PLENA AUTONOMIA TÉCNICA Y ADMINISTRATIVA LOS SERVICIOS PROFESIONALES COMO ADMINISTRADOR DE EMPRESAS ESPECIALISTA EN GERENCIA ESTRATÉGICA PARA REALIZAR EL DISEÑO, ELABORACIÓN Y ENTREGA DEL DOCUMENTO FINAL DE LA PLANEACIÓN ESTRATEGICA DEL INSTITUTO DE CASAS FISCALES PARA EL PERIODO 2023-2042</t>
  </si>
  <si>
    <t>OBJETO</t>
  </si>
  <si>
    <t>SUMINISTRO E INSTALACIÓN  DE PARQUES INFANTILES PARA LAS VIVIENDAS Y ÁREAS COMUNES DEL INSTITUTO DE CASAS FISCALES DEL EJERCITO A NIVEL NACIONAL</t>
  </si>
  <si>
    <t>Grupo Proyectos de Inversión</t>
  </si>
  <si>
    <t>Tapetes trafico pesado conjuntos residenciales</t>
  </si>
  <si>
    <t>ADQUISICIÓN DE TAPETES PARA ZONAS COMUNES DE LOS CONJUNTOS RESIDENCIALES DEL INSTITUTO DE CASAS FISCALES DEL EJÉRCITO</t>
  </si>
  <si>
    <t>ADQUISICIÓN DE ANDAMIOS  MULTIDIRECCIONALES CERTIFICADOS PARA EL INSTITUTO DE CASAS FISCALES DEL EJÉRCITO</t>
  </si>
  <si>
    <t>Adición Motobombas</t>
  </si>
  <si>
    <t>YAJAIRA</t>
  </si>
  <si>
    <t>Adición a contrato de Ferretería Nacional</t>
  </si>
  <si>
    <t>octubre</t>
  </si>
  <si>
    <t>41112200
41112300</t>
  </si>
  <si>
    <t>ADQUISICIÓN DE ELEMENTOS DE CONTROL DE HUMEDAD Y TEMPERATURA PARA EL ARCHIVO CENTRAL DEL INSTITUTO DE CASA FISCALES DEL EJÉRCITO</t>
  </si>
  <si>
    <t>95121500
72153100
49241500</t>
  </si>
  <si>
    <t>1 meses</t>
  </si>
  <si>
    <t>ADQUISICIÓN DE ANDAMIOS MULTIDIRECCIONALES CERTIFICADOS PARA EL INSTITUTO DE CASAS FISCALES DEL EJÉRCITO</t>
  </si>
  <si>
    <t>OTROS PRODUCTOS CAUCHO</t>
  </si>
  <si>
    <t xml:space="preserve"> 8 meses</t>
  </si>
  <si>
    <t>SUMINISTRO E INSTALACIÓN DEL SISTEMA DE ACCESO VEHICULAR Y PEATONAL PARA LOS CONSJUNTOS RESIDENCIALES DEL INSTITUTO DE CASAS FISCALES DEL EJÉRCITO UBICADAS EN LA CIUDAD DE BOGOTÁ.</t>
  </si>
  <si>
    <t xml:space="preserve">32151800
32151900
</t>
  </si>
  <si>
    <t>Suministro e instalación  de parques infantiles para las viviendas y áreas comunes del instituto de casas fiscales del ejercito a nivel nacional</t>
  </si>
  <si>
    <t>11321-19921-29221-38121-45121-86221</t>
  </si>
  <si>
    <t>4521-4621-4721-75321</t>
  </si>
  <si>
    <t>2480370000+261450000-42000000-93000000-220670000+587900000+390000000+215166656</t>
  </si>
  <si>
    <t>2480370000+261450000-42000000-93000000-220670000+587900000+390000000+211666656</t>
  </si>
  <si>
    <t>a</t>
  </si>
  <si>
    <t>11321-19821</t>
  </si>
  <si>
    <t>5721-10421-10521-10621-13721-24921-34321-37821-42121-65121-79721-97321</t>
  </si>
  <si>
    <t>del 20-01-2021 al 30-11-2021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</si>
</sst>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&quot;$&quot;* #,##0_);_(&quot;$&quot;* \(#,##0\);_(&quot;$&quot;* &quot;-&quot;_);_(@_)"/>
    <numFmt numFmtId="167" formatCode="&quot;$&quot;\ #,##0"/>
    <numFmt numFmtId="168" formatCode="dd/mm/yyyy;@"/>
    <numFmt numFmtId="169" formatCode="&quot;$&quot;\ #,##0.00"/>
    <numFmt numFmtId="170" formatCode="_(&quot;$&quot;\ * #,##0_);_(&quot;$&quot;\ * \(#,##0\);_(&quot;$&quot;\ * &quot;-&quot;??_);_(@_)"/>
    <numFmt numFmtId="171" formatCode="_-* #,##0.00_-;\-* #,##0.00_-;_-* &quot;-&quot;_-;_-@_-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1"/>
      <name val="Calibri"/>
      <family val="2"/>
      <scheme val="minor"/>
    </font>
    <font>
      <b/>
      <sz val="12"/>
      <name val="Arial"/>
      <family val="2"/>
    </font>
    <font>
      <b/>
      <sz val="12"/>
      <color theme="7" tint="0.59999389629810485"/>
      <name val="Arial"/>
      <family val="2"/>
    </font>
    <font>
      <sz val="12"/>
      <color rgb="FFFF0000"/>
      <name val="Arial"/>
      <family val="2"/>
    </font>
    <font>
      <sz val="8"/>
      <name val="Calibri"/>
      <family val="2"/>
      <scheme val="minor"/>
    </font>
    <font>
      <b/>
      <sz val="11"/>
      <color rgb="FF66FF66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6" fillId="3" borderId="0" applyNumberFormat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5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7" fontId="4" fillId="2" borderId="1" xfId="2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167" fontId="4" fillId="0" borderId="1" xfId="2" applyNumberFormat="1" applyFont="1" applyFill="1" applyBorder="1" applyAlignment="1">
      <alignment horizontal="right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167" fontId="4" fillId="4" borderId="1" xfId="2" applyNumberFormat="1" applyFont="1" applyFill="1" applyBorder="1" applyAlignment="1">
      <alignment horizontal="right" vertical="center" wrapText="1"/>
    </xf>
    <xf numFmtId="0" fontId="1" fillId="4" borderId="1" xfId="0" applyFont="1" applyFill="1" applyBorder="1"/>
    <xf numFmtId="0" fontId="3" fillId="0" borderId="0" xfId="0" applyFont="1"/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wrapText="1"/>
    </xf>
    <xf numFmtId="167" fontId="4" fillId="7" borderId="1" xfId="2" applyNumberFormat="1" applyFont="1" applyFill="1" applyBorder="1" applyAlignment="1">
      <alignment horizontal="right" vertical="center" wrapText="1"/>
    </xf>
    <xf numFmtId="0" fontId="1" fillId="7" borderId="1" xfId="0" applyFont="1" applyFill="1" applyBorder="1"/>
    <xf numFmtId="0" fontId="10" fillId="6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wrapText="1"/>
    </xf>
    <xf numFmtId="167" fontId="10" fillId="6" borderId="1" xfId="2" applyNumberFormat="1" applyFont="1" applyFill="1" applyBorder="1" applyAlignment="1">
      <alignment horizontal="right" vertical="center" wrapText="1"/>
    </xf>
    <xf numFmtId="0" fontId="10" fillId="6" borderId="1" xfId="0" applyFont="1" applyFill="1" applyBorder="1"/>
    <xf numFmtId="0" fontId="1" fillId="9" borderId="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wrapText="1"/>
    </xf>
    <xf numFmtId="167" fontId="4" fillId="9" borderId="1" xfId="2" applyNumberFormat="1" applyFont="1" applyFill="1" applyBorder="1" applyAlignment="1">
      <alignment horizontal="right" vertical="center" wrapText="1"/>
    </xf>
    <xf numFmtId="0" fontId="1" fillId="9" borderId="1" xfId="0" applyFont="1" applyFill="1" applyBorder="1"/>
    <xf numFmtId="0" fontId="1" fillId="10" borderId="2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wrapText="1"/>
    </xf>
    <xf numFmtId="167" fontId="4" fillId="10" borderId="1" xfId="2" applyNumberFormat="1" applyFont="1" applyFill="1" applyBorder="1" applyAlignment="1">
      <alignment horizontal="right" vertical="center" wrapText="1"/>
    </xf>
    <xf numFmtId="0" fontId="1" fillId="10" borderId="1" xfId="0" applyFont="1" applyFill="1" applyBorder="1"/>
    <xf numFmtId="0" fontId="1" fillId="11" borderId="2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wrapText="1"/>
    </xf>
    <xf numFmtId="167" fontId="4" fillId="11" borderId="1" xfId="2" applyNumberFormat="1" applyFont="1" applyFill="1" applyBorder="1" applyAlignment="1">
      <alignment horizontal="right" vertical="center" wrapText="1"/>
    </xf>
    <xf numFmtId="0" fontId="1" fillId="11" borderId="1" xfId="0" applyFont="1" applyFill="1" applyBorder="1"/>
    <xf numFmtId="0" fontId="9" fillId="13" borderId="2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wrapText="1"/>
    </xf>
    <xf numFmtId="167" fontId="10" fillId="13" borderId="1" xfId="2" applyNumberFormat="1" applyFont="1" applyFill="1" applyBorder="1" applyAlignment="1">
      <alignment horizontal="right" vertical="center" wrapText="1"/>
    </xf>
    <xf numFmtId="0" fontId="9" fillId="13" borderId="1" xfId="0" applyFont="1" applyFill="1" applyBorder="1"/>
    <xf numFmtId="0" fontId="10" fillId="12" borderId="2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wrapText="1"/>
    </xf>
    <xf numFmtId="167" fontId="10" fillId="12" borderId="1" xfId="2" applyNumberFormat="1" applyFont="1" applyFill="1" applyBorder="1" applyAlignment="1">
      <alignment horizontal="right" vertical="center" wrapText="1"/>
    </xf>
    <xf numFmtId="0" fontId="10" fillId="12" borderId="1" xfId="0" applyFont="1" applyFill="1" applyBorder="1"/>
    <xf numFmtId="0" fontId="1" fillId="14" borderId="2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wrapText="1"/>
    </xf>
    <xf numFmtId="167" fontId="4" fillId="14" borderId="1" xfId="2" applyNumberFormat="1" applyFont="1" applyFill="1" applyBorder="1" applyAlignment="1">
      <alignment horizontal="right" vertical="center" wrapText="1"/>
    </xf>
    <xf numFmtId="0" fontId="1" fillId="14" borderId="1" xfId="0" applyFont="1" applyFill="1" applyBorder="1"/>
    <xf numFmtId="0" fontId="10" fillId="15" borderId="1" xfId="0" applyFont="1" applyFill="1" applyBorder="1" applyAlignment="1">
      <alignment wrapText="1"/>
    </xf>
    <xf numFmtId="167" fontId="10" fillId="15" borderId="1" xfId="2" applyNumberFormat="1" applyFont="1" applyFill="1" applyBorder="1" applyAlignment="1">
      <alignment horizontal="right" vertical="center" wrapText="1"/>
    </xf>
    <xf numFmtId="0" fontId="10" fillId="15" borderId="2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10" fillId="15" borderId="1" xfId="0" applyFont="1" applyFill="1" applyBorder="1"/>
    <xf numFmtId="0" fontId="1" fillId="16" borderId="2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wrapText="1"/>
    </xf>
    <xf numFmtId="167" fontId="4" fillId="16" borderId="1" xfId="2" applyNumberFormat="1" applyFont="1" applyFill="1" applyBorder="1" applyAlignment="1">
      <alignment horizontal="right" vertical="center" wrapText="1"/>
    </xf>
    <xf numFmtId="0" fontId="1" fillId="16" borderId="1" xfId="0" applyFont="1" applyFill="1" applyBorder="1"/>
    <xf numFmtId="0" fontId="10" fillId="8" borderId="2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wrapText="1"/>
    </xf>
    <xf numFmtId="167" fontId="10" fillId="8" borderId="1" xfId="2" applyNumberFormat="1" applyFont="1" applyFill="1" applyBorder="1" applyAlignment="1">
      <alignment horizontal="right" vertical="center" wrapText="1"/>
    </xf>
    <xf numFmtId="0" fontId="10" fillId="8" borderId="1" xfId="0" applyFont="1" applyFill="1" applyBorder="1"/>
    <xf numFmtId="0" fontId="10" fillId="18" borderId="1" xfId="0" applyFont="1" applyFill="1" applyBorder="1" applyAlignment="1">
      <alignment wrapText="1"/>
    </xf>
    <xf numFmtId="167" fontId="10" fillId="18" borderId="1" xfId="2" applyNumberFormat="1" applyFont="1" applyFill="1" applyBorder="1" applyAlignment="1">
      <alignment horizontal="right" vertical="center" wrapText="1"/>
    </xf>
    <xf numFmtId="0" fontId="10" fillId="18" borderId="2" xfId="0" applyFont="1" applyFill="1" applyBorder="1" applyAlignment="1">
      <alignment horizontal="center" vertical="center"/>
    </xf>
    <xf numFmtId="0" fontId="10" fillId="18" borderId="1" xfId="0" applyFont="1" applyFill="1" applyBorder="1" applyAlignment="1">
      <alignment horizontal="center" vertical="center"/>
    </xf>
    <xf numFmtId="0" fontId="10" fillId="18" borderId="1" xfId="0" applyFont="1" applyFill="1" applyBorder="1"/>
    <xf numFmtId="0" fontId="10" fillId="17" borderId="2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wrapText="1"/>
    </xf>
    <xf numFmtId="167" fontId="10" fillId="17" borderId="1" xfId="2" applyNumberFormat="1" applyFont="1" applyFill="1" applyBorder="1" applyAlignment="1">
      <alignment horizontal="right" vertical="center" wrapText="1"/>
    </xf>
    <xf numFmtId="0" fontId="10" fillId="17" borderId="1" xfId="0" applyFont="1" applyFill="1" applyBorder="1"/>
    <xf numFmtId="0" fontId="10" fillId="19" borderId="2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wrapText="1"/>
    </xf>
    <xf numFmtId="167" fontId="10" fillId="19" borderId="1" xfId="2" applyNumberFormat="1" applyFont="1" applyFill="1" applyBorder="1" applyAlignment="1">
      <alignment horizontal="right" vertical="center" wrapText="1"/>
    </xf>
    <xf numFmtId="0" fontId="10" fillId="19" borderId="1" xfId="0" applyFont="1" applyFill="1" applyBorder="1"/>
    <xf numFmtId="0" fontId="1" fillId="20" borderId="2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wrapText="1"/>
    </xf>
    <xf numFmtId="167" fontId="4" fillId="20" borderId="1" xfId="2" applyNumberFormat="1" applyFont="1" applyFill="1" applyBorder="1" applyAlignment="1">
      <alignment horizontal="right" vertical="center" wrapText="1"/>
    </xf>
    <xf numFmtId="0" fontId="1" fillId="20" borderId="1" xfId="0" applyFont="1" applyFill="1" applyBorder="1"/>
    <xf numFmtId="0" fontId="6" fillId="19" borderId="7" xfId="3" applyFont="1" applyFill="1" applyBorder="1" applyAlignment="1">
      <alignment horizontal="center" vertical="center" wrapText="1"/>
    </xf>
    <xf numFmtId="0" fontId="6" fillId="19" borderId="8" xfId="3" applyFont="1" applyFill="1" applyBorder="1" applyAlignment="1">
      <alignment horizontal="center" vertical="center" wrapText="1"/>
    </xf>
    <xf numFmtId="0" fontId="6" fillId="19" borderId="9" xfId="3" applyFont="1" applyFill="1" applyBorder="1" applyAlignment="1">
      <alignment horizontal="center" vertical="center" wrapText="1"/>
    </xf>
    <xf numFmtId="0" fontId="1" fillId="21" borderId="2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wrapText="1"/>
    </xf>
    <xf numFmtId="167" fontId="4" fillId="21" borderId="1" xfId="2" applyNumberFormat="1" applyFont="1" applyFill="1" applyBorder="1" applyAlignment="1">
      <alignment horizontal="right" vertical="center" wrapText="1"/>
    </xf>
    <xf numFmtId="0" fontId="1" fillId="21" borderId="1" xfId="0" applyFont="1" applyFill="1" applyBorder="1"/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21" borderId="4" xfId="0" applyFont="1" applyFill="1" applyBorder="1" applyAlignment="1">
      <alignment wrapText="1"/>
    </xf>
    <xf numFmtId="167" fontId="4" fillId="21" borderId="4" xfId="2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/>
    <xf numFmtId="0" fontId="1" fillId="22" borderId="2" xfId="0" applyFont="1" applyFill="1" applyBorder="1" applyAlignment="1">
      <alignment horizontal="center" vertical="center"/>
    </xf>
    <xf numFmtId="0" fontId="1" fillId="22" borderId="1" xfId="0" applyFont="1" applyFill="1" applyBorder="1" applyAlignment="1">
      <alignment wrapText="1"/>
    </xf>
    <xf numFmtId="167" fontId="4" fillId="22" borderId="1" xfId="2" applyNumberFormat="1" applyFont="1" applyFill="1" applyBorder="1" applyAlignment="1">
      <alignment horizontal="right" vertical="center" wrapText="1"/>
    </xf>
    <xf numFmtId="0" fontId="1" fillId="22" borderId="1" xfId="0" applyFont="1" applyFill="1" applyBorder="1"/>
    <xf numFmtId="0" fontId="1" fillId="23" borderId="2" xfId="0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wrapText="1"/>
    </xf>
    <xf numFmtId="167" fontId="4" fillId="23" borderId="1" xfId="2" applyNumberFormat="1" applyFont="1" applyFill="1" applyBorder="1" applyAlignment="1">
      <alignment horizontal="right" vertical="center" wrapText="1"/>
    </xf>
    <xf numFmtId="0" fontId="1" fillId="23" borderId="1" xfId="0" applyFont="1" applyFill="1" applyBorder="1"/>
    <xf numFmtId="0" fontId="1" fillId="21" borderId="12" xfId="0" applyFont="1" applyFill="1" applyBorder="1" applyAlignment="1">
      <alignment vertical="center"/>
    </xf>
    <xf numFmtId="0" fontId="1" fillId="21" borderId="13" xfId="0" applyFont="1" applyFill="1" applyBorder="1" applyAlignment="1">
      <alignment vertical="center"/>
    </xf>
    <xf numFmtId="0" fontId="1" fillId="21" borderId="14" xfId="0" applyFont="1" applyFill="1" applyBorder="1" applyAlignment="1">
      <alignment vertical="center"/>
    </xf>
    <xf numFmtId="0" fontId="1" fillId="21" borderId="0" xfId="0" applyFont="1" applyFill="1" applyBorder="1" applyAlignment="1">
      <alignment vertical="center"/>
    </xf>
    <xf numFmtId="0" fontId="4" fillId="21" borderId="1" xfId="0" applyFont="1" applyFill="1" applyBorder="1" applyAlignment="1">
      <alignment wrapText="1"/>
    </xf>
    <xf numFmtId="0" fontId="4" fillId="21" borderId="2" xfId="0" applyFont="1" applyFill="1" applyBorder="1" applyAlignment="1">
      <alignment horizontal="center" vertical="center"/>
    </xf>
    <xf numFmtId="0" fontId="4" fillId="21" borderId="1" xfId="0" applyFont="1" applyFill="1" applyBorder="1"/>
    <xf numFmtId="0" fontId="1" fillId="21" borderId="1" xfId="0" applyFont="1" applyFill="1" applyBorder="1" applyAlignment="1">
      <alignment vertical="top" wrapText="1"/>
    </xf>
    <xf numFmtId="167" fontId="4" fillId="24" borderId="1" xfId="2" applyNumberFormat="1" applyFont="1" applyFill="1" applyBorder="1" applyAlignment="1">
      <alignment horizontal="right" vertical="center" wrapText="1"/>
    </xf>
    <xf numFmtId="167" fontId="4" fillId="24" borderId="4" xfId="2" applyNumberFormat="1" applyFont="1" applyFill="1" applyBorder="1" applyAlignment="1">
      <alignment horizontal="right" vertical="center" wrapText="1"/>
    </xf>
    <xf numFmtId="167" fontId="12" fillId="24" borderId="1" xfId="2" applyNumberFormat="1" applyFont="1" applyFill="1" applyBorder="1" applyAlignment="1">
      <alignment horizontal="right" vertical="center" wrapText="1"/>
    </xf>
    <xf numFmtId="168" fontId="1" fillId="0" borderId="0" xfId="0" applyNumberFormat="1" applyFont="1" applyAlignment="1">
      <alignment horizontal="center"/>
    </xf>
    <xf numFmtId="168" fontId="10" fillId="6" borderId="1" xfId="2" applyNumberFormat="1" applyFont="1" applyFill="1" applyBorder="1" applyAlignment="1">
      <alignment horizontal="center" vertical="center" wrapText="1"/>
    </xf>
    <xf numFmtId="168" fontId="4" fillId="11" borderId="1" xfId="2" applyNumberFormat="1" applyFont="1" applyFill="1" applyBorder="1" applyAlignment="1">
      <alignment horizontal="center" vertical="center" wrapText="1"/>
    </xf>
    <xf numFmtId="168" fontId="4" fillId="4" borderId="1" xfId="2" applyNumberFormat="1" applyFont="1" applyFill="1" applyBorder="1" applyAlignment="1">
      <alignment horizontal="center" vertical="center" wrapText="1"/>
    </xf>
    <xf numFmtId="168" fontId="4" fillId="20" borderId="1" xfId="2" applyNumberFormat="1" applyFont="1" applyFill="1" applyBorder="1" applyAlignment="1">
      <alignment horizontal="center" vertical="center" wrapText="1"/>
    </xf>
    <xf numFmtId="168" fontId="4" fillId="2" borderId="1" xfId="2" applyNumberFormat="1" applyFont="1" applyFill="1" applyBorder="1" applyAlignment="1">
      <alignment horizontal="center" vertical="center" wrapText="1"/>
    </xf>
    <xf numFmtId="168" fontId="4" fillId="21" borderId="1" xfId="2" applyNumberFormat="1" applyFont="1" applyFill="1" applyBorder="1" applyAlignment="1">
      <alignment horizontal="center" vertical="center" wrapText="1"/>
    </xf>
    <xf numFmtId="168" fontId="4" fillId="22" borderId="1" xfId="2" applyNumberFormat="1" applyFont="1" applyFill="1" applyBorder="1" applyAlignment="1">
      <alignment horizontal="center" vertical="center" wrapText="1"/>
    </xf>
    <xf numFmtId="168" fontId="4" fillId="0" borderId="1" xfId="2" applyNumberFormat="1" applyFont="1" applyFill="1" applyBorder="1" applyAlignment="1">
      <alignment horizontal="center" vertical="center" wrapText="1"/>
    </xf>
    <xf numFmtId="168" fontId="4" fillId="23" borderId="1" xfId="2" applyNumberFormat="1" applyFont="1" applyFill="1" applyBorder="1" applyAlignment="1">
      <alignment horizontal="center" vertical="center" wrapText="1"/>
    </xf>
    <xf numFmtId="168" fontId="10" fillId="13" borderId="1" xfId="2" applyNumberFormat="1" applyFont="1" applyFill="1" applyBorder="1" applyAlignment="1">
      <alignment horizontal="center" vertical="center" wrapText="1"/>
    </xf>
    <xf numFmtId="168" fontId="10" fillId="12" borderId="1" xfId="2" applyNumberFormat="1" applyFont="1" applyFill="1" applyBorder="1" applyAlignment="1">
      <alignment horizontal="center" vertical="center" wrapText="1"/>
    </xf>
    <xf numFmtId="168" fontId="4" fillId="7" borderId="1" xfId="2" applyNumberFormat="1" applyFont="1" applyFill="1" applyBorder="1" applyAlignment="1">
      <alignment horizontal="center" vertical="center" wrapText="1"/>
    </xf>
    <xf numFmtId="168" fontId="4" fillId="9" borderId="1" xfId="2" applyNumberFormat="1" applyFont="1" applyFill="1" applyBorder="1" applyAlignment="1">
      <alignment horizontal="center" vertical="center" wrapText="1"/>
    </xf>
    <xf numFmtId="168" fontId="10" fillId="15" borderId="1" xfId="2" applyNumberFormat="1" applyFont="1" applyFill="1" applyBorder="1" applyAlignment="1">
      <alignment horizontal="center" vertical="center" wrapText="1"/>
    </xf>
    <xf numFmtId="168" fontId="10" fillId="8" borderId="1" xfId="2" applyNumberFormat="1" applyFont="1" applyFill="1" applyBorder="1" applyAlignment="1">
      <alignment horizontal="center" vertical="center" wrapText="1"/>
    </xf>
    <xf numFmtId="168" fontId="10" fillId="18" borderId="1" xfId="2" applyNumberFormat="1" applyFont="1" applyFill="1" applyBorder="1" applyAlignment="1">
      <alignment horizontal="center" vertical="center" wrapText="1"/>
    </xf>
    <xf numFmtId="168" fontId="10" fillId="17" borderId="1" xfId="2" applyNumberFormat="1" applyFont="1" applyFill="1" applyBorder="1" applyAlignment="1">
      <alignment horizontal="center" vertical="center" wrapText="1"/>
    </xf>
    <xf numFmtId="168" fontId="4" fillId="16" borderId="1" xfId="2" applyNumberFormat="1" applyFont="1" applyFill="1" applyBorder="1" applyAlignment="1">
      <alignment horizontal="center" vertical="center" wrapText="1"/>
    </xf>
    <xf numFmtId="168" fontId="10" fillId="19" borderId="1" xfId="2" applyNumberFormat="1" applyFont="1" applyFill="1" applyBorder="1" applyAlignment="1">
      <alignment horizontal="center" vertical="center" wrapText="1"/>
    </xf>
    <xf numFmtId="168" fontId="4" fillId="14" borderId="1" xfId="2" applyNumberFormat="1" applyFont="1" applyFill="1" applyBorder="1" applyAlignment="1">
      <alignment horizontal="center" vertical="center" wrapText="1"/>
    </xf>
    <xf numFmtId="168" fontId="4" fillId="10" borderId="1" xfId="2" applyNumberFormat="1" applyFont="1" applyFill="1" applyBorder="1" applyAlignment="1">
      <alignment horizontal="center" vertical="center" wrapText="1"/>
    </xf>
    <xf numFmtId="168" fontId="4" fillId="21" borderId="4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7" fontId="10" fillId="6" borderId="1" xfId="2" applyNumberFormat="1" applyFont="1" applyFill="1" applyBorder="1" applyAlignment="1">
      <alignment horizontal="center" vertical="center" wrapText="1"/>
    </xf>
    <xf numFmtId="167" fontId="4" fillId="11" borderId="1" xfId="2" applyNumberFormat="1" applyFont="1" applyFill="1" applyBorder="1" applyAlignment="1">
      <alignment horizontal="center" vertical="center" wrapText="1"/>
    </xf>
    <xf numFmtId="167" fontId="4" fillId="4" borderId="1" xfId="2" applyNumberFormat="1" applyFont="1" applyFill="1" applyBorder="1" applyAlignment="1">
      <alignment horizontal="center" vertical="center" wrapText="1"/>
    </xf>
    <xf numFmtId="167" fontId="4" fillId="20" borderId="1" xfId="2" applyNumberFormat="1" applyFont="1" applyFill="1" applyBorder="1" applyAlignment="1">
      <alignment horizontal="center" vertical="center" wrapText="1"/>
    </xf>
    <xf numFmtId="167" fontId="4" fillId="2" borderId="1" xfId="2" applyNumberFormat="1" applyFont="1" applyFill="1" applyBorder="1" applyAlignment="1">
      <alignment horizontal="center" vertical="center" wrapText="1"/>
    </xf>
    <xf numFmtId="167" fontId="4" fillId="21" borderId="1" xfId="2" applyNumberFormat="1" applyFont="1" applyFill="1" applyBorder="1" applyAlignment="1">
      <alignment horizontal="center" vertical="center" wrapText="1"/>
    </xf>
    <xf numFmtId="167" fontId="4" fillId="22" borderId="1" xfId="2" applyNumberFormat="1" applyFont="1" applyFill="1" applyBorder="1" applyAlignment="1">
      <alignment horizontal="center" vertical="center" wrapText="1"/>
    </xf>
    <xf numFmtId="167" fontId="4" fillId="0" borderId="1" xfId="2" applyNumberFormat="1" applyFont="1" applyFill="1" applyBorder="1" applyAlignment="1">
      <alignment horizontal="center" vertical="center" wrapText="1"/>
    </xf>
    <xf numFmtId="167" fontId="4" fillId="23" borderId="1" xfId="2" applyNumberFormat="1" applyFont="1" applyFill="1" applyBorder="1" applyAlignment="1">
      <alignment horizontal="center" vertical="center" wrapText="1"/>
    </xf>
    <xf numFmtId="167" fontId="10" fillId="13" borderId="1" xfId="2" applyNumberFormat="1" applyFont="1" applyFill="1" applyBorder="1" applyAlignment="1">
      <alignment horizontal="center" vertical="center" wrapText="1"/>
    </xf>
    <xf numFmtId="167" fontId="10" fillId="12" borderId="1" xfId="2" applyNumberFormat="1" applyFont="1" applyFill="1" applyBorder="1" applyAlignment="1">
      <alignment horizontal="center" vertical="center" wrapText="1"/>
    </xf>
    <xf numFmtId="167" fontId="4" fillId="7" borderId="1" xfId="2" applyNumberFormat="1" applyFont="1" applyFill="1" applyBorder="1" applyAlignment="1">
      <alignment horizontal="center" vertical="center" wrapText="1"/>
    </xf>
    <xf numFmtId="167" fontId="4" fillId="9" borderId="1" xfId="2" applyNumberFormat="1" applyFont="1" applyFill="1" applyBorder="1" applyAlignment="1">
      <alignment horizontal="center" vertical="center" wrapText="1"/>
    </xf>
    <xf numFmtId="167" fontId="10" fillId="15" borderId="1" xfId="2" applyNumberFormat="1" applyFont="1" applyFill="1" applyBorder="1" applyAlignment="1">
      <alignment horizontal="center" vertical="center" wrapText="1"/>
    </xf>
    <xf numFmtId="167" fontId="10" fillId="8" borderId="1" xfId="2" applyNumberFormat="1" applyFont="1" applyFill="1" applyBorder="1" applyAlignment="1">
      <alignment horizontal="center" vertical="center" wrapText="1"/>
    </xf>
    <xf numFmtId="167" fontId="10" fillId="18" borderId="1" xfId="2" applyNumberFormat="1" applyFont="1" applyFill="1" applyBorder="1" applyAlignment="1">
      <alignment horizontal="center" vertical="center" wrapText="1"/>
    </xf>
    <xf numFmtId="167" fontId="10" fillId="17" borderId="1" xfId="2" applyNumberFormat="1" applyFont="1" applyFill="1" applyBorder="1" applyAlignment="1">
      <alignment horizontal="center" vertical="center" wrapText="1"/>
    </xf>
    <xf numFmtId="167" fontId="4" fillId="16" borderId="1" xfId="2" applyNumberFormat="1" applyFont="1" applyFill="1" applyBorder="1" applyAlignment="1">
      <alignment horizontal="center" vertical="center" wrapText="1"/>
    </xf>
    <xf numFmtId="167" fontId="10" fillId="19" borderId="1" xfId="2" applyNumberFormat="1" applyFont="1" applyFill="1" applyBorder="1" applyAlignment="1">
      <alignment horizontal="center" vertical="center" wrapText="1"/>
    </xf>
    <xf numFmtId="167" fontId="4" fillId="14" borderId="1" xfId="2" applyNumberFormat="1" applyFont="1" applyFill="1" applyBorder="1" applyAlignment="1">
      <alignment horizontal="center" vertical="center" wrapText="1"/>
    </xf>
    <xf numFmtId="167" fontId="4" fillId="10" borderId="1" xfId="2" applyNumberFormat="1" applyFont="1" applyFill="1" applyBorder="1" applyAlignment="1">
      <alignment horizontal="center" vertical="center" wrapText="1"/>
    </xf>
    <xf numFmtId="167" fontId="4" fillId="21" borderId="4" xfId="2" applyNumberFormat="1" applyFont="1" applyFill="1" applyBorder="1" applyAlignment="1">
      <alignment horizontal="center" vertical="center" wrapText="1"/>
    </xf>
    <xf numFmtId="167" fontId="4" fillId="25" borderId="1" xfId="2" applyNumberFormat="1" applyFont="1" applyFill="1" applyBorder="1" applyAlignment="1">
      <alignment horizontal="right" vertical="center" wrapText="1"/>
    </xf>
    <xf numFmtId="167" fontId="4" fillId="25" borderId="4" xfId="2" applyNumberFormat="1" applyFont="1" applyFill="1" applyBorder="1" applyAlignment="1">
      <alignment horizontal="right" vertical="center" wrapText="1"/>
    </xf>
    <xf numFmtId="0" fontId="1" fillId="22" borderId="2" xfId="0" applyFont="1" applyFill="1" applyBorder="1" applyAlignment="1">
      <alignment horizontal="center" vertical="center" wrapText="1"/>
    </xf>
    <xf numFmtId="0" fontId="1" fillId="21" borderId="2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 wrapText="1"/>
    </xf>
    <xf numFmtId="0" fontId="1" fillId="22" borderId="1" xfId="0" applyFont="1" applyFill="1" applyBorder="1" applyAlignment="1">
      <alignment vertical="center" wrapText="1"/>
    </xf>
    <xf numFmtId="167" fontId="1" fillId="11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0" fontId="1" fillId="22" borderId="1" xfId="0" applyFont="1" applyFill="1" applyBorder="1" applyAlignment="1">
      <alignment horizontal="center" vertical="center"/>
    </xf>
    <xf numFmtId="167" fontId="1" fillId="0" borderId="1" xfId="0" applyNumberFormat="1" applyFont="1" applyFill="1" applyBorder="1" applyAlignment="1">
      <alignment horizontal="center" vertical="center"/>
    </xf>
    <xf numFmtId="167" fontId="1" fillId="20" borderId="1" xfId="0" applyNumberFormat="1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horizontal="center" vertical="center"/>
    </xf>
    <xf numFmtId="0" fontId="1" fillId="21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67" fontId="10" fillId="12" borderId="1" xfId="0" applyNumberFormat="1" applyFont="1" applyFill="1" applyBorder="1" applyAlignment="1">
      <alignment horizontal="center" vertical="center"/>
    </xf>
    <xf numFmtId="167" fontId="10" fillId="5" borderId="23" xfId="2" applyNumberFormat="1" applyFont="1" applyFill="1" applyBorder="1" applyAlignment="1">
      <alignment horizontal="right" vertical="center" wrapText="1"/>
    </xf>
    <xf numFmtId="0" fontId="9" fillId="5" borderId="19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20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9" fillId="13" borderId="20" xfId="0" applyFont="1" applyFill="1" applyBorder="1" applyAlignment="1">
      <alignment horizontal="center" vertical="center"/>
    </xf>
    <xf numFmtId="0" fontId="10" fillId="12" borderId="20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10" fillId="15" borderId="20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18" borderId="20" xfId="0" applyFont="1" applyFill="1" applyBorder="1" applyAlignment="1">
      <alignment horizontal="center" vertical="center"/>
    </xf>
    <xf numFmtId="0" fontId="10" fillId="17" borderId="20" xfId="0" applyFont="1" applyFill="1" applyBorder="1" applyAlignment="1">
      <alignment horizontal="center" vertical="center"/>
    </xf>
    <xf numFmtId="0" fontId="1" fillId="16" borderId="20" xfId="0" applyFont="1" applyFill="1" applyBorder="1" applyAlignment="1">
      <alignment horizontal="center" vertical="center"/>
    </xf>
    <xf numFmtId="0" fontId="10" fillId="19" borderId="20" xfId="0" applyFont="1" applyFill="1" applyBorder="1" applyAlignment="1">
      <alignment horizontal="center" vertical="center"/>
    </xf>
    <xf numFmtId="0" fontId="1" fillId="14" borderId="20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167" fontId="4" fillId="16" borderId="26" xfId="2" applyNumberFormat="1" applyFont="1" applyFill="1" applyBorder="1" applyAlignment="1">
      <alignment horizontal="right" vertical="center" wrapText="1"/>
    </xf>
    <xf numFmtId="0" fontId="5" fillId="19" borderId="24" xfId="3" applyFont="1" applyFill="1" applyBorder="1" applyAlignment="1">
      <alignment horizontal="center" vertical="center" wrapText="1"/>
    </xf>
    <xf numFmtId="0" fontId="5" fillId="19" borderId="25" xfId="3" applyFont="1" applyFill="1" applyBorder="1" applyAlignment="1">
      <alignment horizontal="center" vertical="center" wrapText="1"/>
    </xf>
    <xf numFmtId="168" fontId="5" fillId="19" borderId="25" xfId="3" applyNumberFormat="1" applyFont="1" applyFill="1" applyBorder="1" applyAlignment="1">
      <alignment horizontal="center" vertical="center" wrapText="1"/>
    </xf>
    <xf numFmtId="0" fontId="11" fillId="24" borderId="25" xfId="3" applyFont="1" applyFill="1" applyBorder="1" applyAlignment="1">
      <alignment horizontal="center" vertical="center" wrapText="1"/>
    </xf>
    <xf numFmtId="0" fontId="5" fillId="19" borderId="27" xfId="3" applyFont="1" applyFill="1" applyBorder="1" applyAlignment="1">
      <alignment horizontal="center" vertical="center" wrapText="1"/>
    </xf>
    <xf numFmtId="167" fontId="1" fillId="4" borderId="1" xfId="0" applyNumberFormat="1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wrapText="1"/>
    </xf>
    <xf numFmtId="168" fontId="10" fillId="5" borderId="23" xfId="2" applyNumberFormat="1" applyFont="1" applyFill="1" applyBorder="1" applyAlignment="1">
      <alignment horizontal="center" vertical="center" wrapText="1"/>
    </xf>
    <xf numFmtId="167" fontId="10" fillId="5" borderId="23" xfId="2" applyNumberFormat="1" applyFont="1" applyFill="1" applyBorder="1" applyAlignment="1">
      <alignment horizontal="center" vertical="center" wrapText="1"/>
    </xf>
    <xf numFmtId="167" fontId="12" fillId="24" borderId="23" xfId="2" applyNumberFormat="1" applyFont="1" applyFill="1" applyBorder="1" applyAlignment="1">
      <alignment horizontal="right" vertical="center" wrapText="1"/>
    </xf>
    <xf numFmtId="0" fontId="9" fillId="5" borderId="23" xfId="0" applyFont="1" applyFill="1" applyBorder="1"/>
    <xf numFmtId="0" fontId="1" fillId="21" borderId="3" xfId="0" applyFont="1" applyFill="1" applyBorder="1" applyAlignment="1">
      <alignment horizontal="center" vertical="center" wrapText="1"/>
    </xf>
    <xf numFmtId="167" fontId="10" fillId="15" borderId="1" xfId="0" applyNumberFormat="1" applyFont="1" applyFill="1" applyBorder="1" applyAlignment="1">
      <alignment horizontal="center" vertical="center"/>
    </xf>
    <xf numFmtId="167" fontId="13" fillId="5" borderId="23" xfId="0" applyNumberFormat="1" applyFont="1" applyFill="1" applyBorder="1" applyAlignment="1">
      <alignment horizontal="center" vertical="center"/>
    </xf>
    <xf numFmtId="167" fontId="9" fillId="13" borderId="1" xfId="0" applyNumberFormat="1" applyFont="1" applyFill="1" applyBorder="1" applyAlignment="1">
      <alignment horizontal="center" vertical="center"/>
    </xf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7" fontId="1" fillId="7" borderId="1" xfId="0" applyNumberFormat="1" applyFont="1" applyFill="1" applyBorder="1" applyAlignment="1">
      <alignment horizontal="center" vertical="center"/>
    </xf>
    <xf numFmtId="167" fontId="1" fillId="9" borderId="1" xfId="0" applyNumberFormat="1" applyFont="1" applyFill="1" applyBorder="1" applyAlignment="1">
      <alignment horizontal="center" vertical="center"/>
    </xf>
    <xf numFmtId="0" fontId="1" fillId="21" borderId="0" xfId="0" applyFont="1" applyFill="1" applyAlignment="1">
      <alignment horizontal="center" vertical="center"/>
    </xf>
    <xf numFmtId="0" fontId="1" fillId="21" borderId="0" xfId="0" applyFont="1" applyFill="1" applyAlignment="1">
      <alignment wrapText="1"/>
    </xf>
    <xf numFmtId="168" fontId="1" fillId="21" borderId="0" xfId="0" applyNumberFormat="1" applyFont="1" applyFill="1" applyAlignment="1">
      <alignment horizontal="center"/>
    </xf>
    <xf numFmtId="0" fontId="1" fillId="21" borderId="0" xfId="0" applyFont="1" applyFill="1" applyAlignment="1">
      <alignment horizontal="center"/>
    </xf>
    <xf numFmtId="0" fontId="1" fillId="21" borderId="0" xfId="0" applyFont="1" applyFill="1"/>
    <xf numFmtId="0" fontId="1" fillId="21" borderId="0" xfId="0" applyFont="1" applyFill="1" applyAlignment="1">
      <alignment vertical="center"/>
    </xf>
    <xf numFmtId="167" fontId="10" fillId="6" borderId="1" xfId="0" applyNumberFormat="1" applyFont="1" applyFill="1" applyBorder="1" applyAlignment="1">
      <alignment horizontal="center" vertical="center"/>
    </xf>
    <xf numFmtId="167" fontId="10" fillId="6" borderId="1" xfId="0" applyNumberFormat="1" applyFont="1" applyFill="1" applyBorder="1"/>
    <xf numFmtId="0" fontId="1" fillId="20" borderId="20" xfId="0" applyFont="1" applyFill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21" borderId="1" xfId="0" applyNumberFormat="1" applyFont="1" applyFill="1" applyBorder="1" applyAlignment="1">
      <alignment horizontal="center" vertical="center" wrapText="1"/>
    </xf>
    <xf numFmtId="167" fontId="1" fillId="22" borderId="1" xfId="0" applyNumberFormat="1" applyFont="1" applyFill="1" applyBorder="1"/>
    <xf numFmtId="0" fontId="9" fillId="5" borderId="29" xfId="0" applyFont="1" applyFill="1" applyBorder="1" applyAlignment="1">
      <alignment vertical="center"/>
    </xf>
    <xf numFmtId="0" fontId="10" fillId="6" borderId="20" xfId="0" applyFont="1" applyFill="1" applyBorder="1" applyAlignment="1">
      <alignment vertical="center"/>
    </xf>
    <xf numFmtId="0" fontId="1" fillId="11" borderId="20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21" borderId="20" xfId="0" applyFont="1" applyFill="1" applyBorder="1" applyAlignment="1">
      <alignment vertical="center"/>
    </xf>
    <xf numFmtId="0" fontId="1" fillId="22" borderId="20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23" borderId="20" xfId="0" applyFont="1" applyFill="1" applyBorder="1" applyAlignment="1">
      <alignment vertical="center"/>
    </xf>
    <xf numFmtId="0" fontId="1" fillId="21" borderId="20" xfId="0" applyFont="1" applyFill="1" applyBorder="1" applyAlignment="1">
      <alignment vertical="center" wrapText="1"/>
    </xf>
    <xf numFmtId="0" fontId="9" fillId="13" borderId="20" xfId="0" applyFont="1" applyFill="1" applyBorder="1" applyAlignment="1">
      <alignment vertical="center"/>
    </xf>
    <xf numFmtId="0" fontId="10" fillId="12" borderId="20" xfId="0" applyFont="1" applyFill="1" applyBorder="1" applyAlignment="1">
      <alignment vertical="center"/>
    </xf>
    <xf numFmtId="0" fontId="1" fillId="7" borderId="20" xfId="0" applyFont="1" applyFill="1" applyBorder="1" applyAlignment="1">
      <alignment vertical="center"/>
    </xf>
    <xf numFmtId="0" fontId="1" fillId="9" borderId="20" xfId="0" applyFont="1" applyFill="1" applyBorder="1" applyAlignment="1">
      <alignment vertical="center"/>
    </xf>
    <xf numFmtId="0" fontId="10" fillId="15" borderId="20" xfId="0" applyFont="1" applyFill="1" applyBorder="1" applyAlignment="1">
      <alignment vertical="center"/>
    </xf>
    <xf numFmtId="0" fontId="10" fillId="8" borderId="20" xfId="0" applyFont="1" applyFill="1" applyBorder="1" applyAlignment="1">
      <alignment vertical="center"/>
    </xf>
    <xf numFmtId="0" fontId="4" fillId="21" borderId="20" xfId="0" applyFont="1" applyFill="1" applyBorder="1" applyAlignment="1">
      <alignment vertical="center"/>
    </xf>
    <xf numFmtId="0" fontId="10" fillId="18" borderId="20" xfId="0" applyFont="1" applyFill="1" applyBorder="1" applyAlignment="1">
      <alignment vertical="center"/>
    </xf>
    <xf numFmtId="0" fontId="10" fillId="17" borderId="20" xfId="0" applyFont="1" applyFill="1" applyBorder="1" applyAlignment="1">
      <alignment vertical="center"/>
    </xf>
    <xf numFmtId="0" fontId="1" fillId="16" borderId="20" xfId="0" applyFont="1" applyFill="1" applyBorder="1" applyAlignment="1">
      <alignment vertical="center"/>
    </xf>
    <xf numFmtId="0" fontId="10" fillId="19" borderId="20" xfId="0" applyFont="1" applyFill="1" applyBorder="1" applyAlignment="1">
      <alignment vertical="center"/>
    </xf>
    <xf numFmtId="0" fontId="1" fillId="14" borderId="20" xfId="0" applyFont="1" applyFill="1" applyBorder="1" applyAlignment="1">
      <alignment vertical="center"/>
    </xf>
    <xf numFmtId="0" fontId="1" fillId="10" borderId="20" xfId="0" applyFont="1" applyFill="1" applyBorder="1" applyAlignment="1">
      <alignment vertical="center"/>
    </xf>
    <xf numFmtId="0" fontId="1" fillId="21" borderId="30" xfId="0" applyFont="1" applyFill="1" applyBorder="1" applyAlignment="1">
      <alignment vertical="center"/>
    </xf>
    <xf numFmtId="0" fontId="1" fillId="21" borderId="0" xfId="0" applyFont="1" applyFill="1" applyBorder="1"/>
    <xf numFmtId="167" fontId="1" fillId="0" borderId="0" xfId="0" applyNumberFormat="1" applyFont="1"/>
    <xf numFmtId="0" fontId="1" fillId="5" borderId="1" xfId="0" applyFont="1" applyFill="1" applyBorder="1" applyAlignment="1">
      <alignment wrapText="1"/>
    </xf>
    <xf numFmtId="168" fontId="4" fillId="5" borderId="1" xfId="2" applyNumberFormat="1" applyFont="1" applyFill="1" applyBorder="1" applyAlignment="1">
      <alignment horizontal="center" vertical="center" wrapText="1"/>
    </xf>
    <xf numFmtId="167" fontId="4" fillId="5" borderId="1" xfId="2" applyNumberFormat="1" applyFont="1" applyFill="1" applyBorder="1" applyAlignment="1">
      <alignment horizontal="center" vertical="center" wrapText="1"/>
    </xf>
    <xf numFmtId="167" fontId="4" fillId="5" borderId="1" xfId="2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5" borderId="20" xfId="0" applyFont="1" applyFill="1" applyBorder="1" applyAlignment="1">
      <alignment vertical="center"/>
    </xf>
    <xf numFmtId="167" fontId="1" fillId="5" borderId="1" xfId="0" applyNumberFormat="1" applyFont="1" applyFill="1" applyBorder="1" applyAlignment="1">
      <alignment horizontal="center" vertical="center"/>
    </xf>
    <xf numFmtId="167" fontId="9" fillId="5" borderId="1" xfId="2" applyNumberFormat="1" applyFont="1" applyFill="1" applyBorder="1" applyAlignment="1">
      <alignment horizontal="right" vertical="center" wrapText="1"/>
    </xf>
    <xf numFmtId="0" fontId="1" fillId="21" borderId="0" xfId="0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20" xfId="0" applyFont="1" applyFill="1" applyBorder="1" applyAlignment="1">
      <alignment vertical="center"/>
    </xf>
    <xf numFmtId="167" fontId="1" fillId="2" borderId="0" xfId="0" applyNumberFormat="1" applyFont="1" applyFill="1"/>
    <xf numFmtId="49" fontId="1" fillId="21" borderId="2" xfId="0" applyNumberFormat="1" applyFont="1" applyFill="1" applyBorder="1" applyAlignment="1">
      <alignment horizontal="center" vertical="center"/>
    </xf>
    <xf numFmtId="49" fontId="1" fillId="21" borderId="1" xfId="0" applyNumberFormat="1" applyFont="1" applyFill="1" applyBorder="1" applyAlignment="1">
      <alignment horizontal="center" vertical="center"/>
    </xf>
    <xf numFmtId="49" fontId="1" fillId="21" borderId="20" xfId="0" applyNumberFormat="1" applyFont="1" applyFill="1" applyBorder="1" applyAlignment="1">
      <alignment horizontal="center" vertical="center"/>
    </xf>
    <xf numFmtId="167" fontId="4" fillId="25" borderId="0" xfId="2" applyNumberFormat="1" applyFont="1" applyFill="1" applyBorder="1" applyAlignment="1">
      <alignment horizontal="right" vertical="center" wrapText="1"/>
    </xf>
    <xf numFmtId="0" fontId="1" fillId="0" borderId="0" xfId="0" applyNumberFormat="1" applyFont="1" applyAlignment="1">
      <alignment horizontal="center"/>
    </xf>
    <xf numFmtId="0" fontId="10" fillId="5" borderId="22" xfId="2" applyNumberFormat="1" applyFont="1" applyFill="1" applyBorder="1" applyAlignment="1">
      <alignment horizontal="center" vertical="center" wrapText="1"/>
    </xf>
    <xf numFmtId="0" fontId="10" fillId="6" borderId="2" xfId="2" applyNumberFormat="1" applyFont="1" applyFill="1" applyBorder="1" applyAlignment="1">
      <alignment horizontal="center" vertical="center" wrapText="1"/>
    </xf>
    <xf numFmtId="0" fontId="4" fillId="11" borderId="2" xfId="2" applyNumberFormat="1" applyFont="1" applyFill="1" applyBorder="1" applyAlignment="1">
      <alignment horizontal="center" vertical="center" wrapText="1"/>
    </xf>
    <xf numFmtId="0" fontId="4" fillId="4" borderId="2" xfId="2" applyNumberFormat="1" applyFont="1" applyFill="1" applyBorder="1" applyAlignment="1">
      <alignment horizontal="center" vertical="center" wrapText="1"/>
    </xf>
    <xf numFmtId="0" fontId="4" fillId="20" borderId="2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5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10" fillId="13" borderId="2" xfId="2" applyNumberFormat="1" applyFont="1" applyFill="1" applyBorder="1" applyAlignment="1">
      <alignment horizontal="center" vertical="center" wrapText="1"/>
    </xf>
    <xf numFmtId="0" fontId="10" fillId="12" borderId="2" xfId="2" applyNumberFormat="1" applyFont="1" applyFill="1" applyBorder="1" applyAlignment="1">
      <alignment horizontal="center" vertical="center" wrapText="1"/>
    </xf>
    <xf numFmtId="0" fontId="4" fillId="7" borderId="2" xfId="2" applyNumberFormat="1" applyFont="1" applyFill="1" applyBorder="1" applyAlignment="1">
      <alignment horizontal="center" vertical="center" wrapText="1"/>
    </xf>
    <xf numFmtId="0" fontId="4" fillId="9" borderId="2" xfId="2" applyNumberFormat="1" applyFont="1" applyFill="1" applyBorder="1" applyAlignment="1">
      <alignment horizontal="center" vertical="center" wrapText="1"/>
    </xf>
    <xf numFmtId="0" fontId="1" fillId="21" borderId="14" xfId="0" applyNumberFormat="1" applyFont="1" applyFill="1" applyBorder="1" applyAlignment="1">
      <alignment horizontal="center"/>
    </xf>
    <xf numFmtId="0" fontId="10" fillId="15" borderId="2" xfId="2" applyNumberFormat="1" applyFont="1" applyFill="1" applyBorder="1" applyAlignment="1">
      <alignment horizontal="center" vertical="center" wrapText="1"/>
    </xf>
    <xf numFmtId="0" fontId="10" fillId="8" borderId="2" xfId="2" applyNumberFormat="1" applyFont="1" applyFill="1" applyBorder="1" applyAlignment="1">
      <alignment horizontal="center" vertical="center" wrapText="1"/>
    </xf>
    <xf numFmtId="0" fontId="10" fillId="18" borderId="2" xfId="2" applyNumberFormat="1" applyFont="1" applyFill="1" applyBorder="1" applyAlignment="1">
      <alignment horizontal="center" vertical="center" wrapText="1"/>
    </xf>
    <xf numFmtId="0" fontId="10" fillId="17" borderId="2" xfId="2" applyNumberFormat="1" applyFont="1" applyFill="1" applyBorder="1" applyAlignment="1">
      <alignment horizontal="center" vertical="center" wrapText="1"/>
    </xf>
    <xf numFmtId="0" fontId="4" fillId="16" borderId="2" xfId="2" applyNumberFormat="1" applyFont="1" applyFill="1" applyBorder="1" applyAlignment="1">
      <alignment horizontal="center" vertical="center" wrapText="1"/>
    </xf>
    <xf numFmtId="0" fontId="10" fillId="19" borderId="2" xfId="2" applyNumberFormat="1" applyFont="1" applyFill="1" applyBorder="1" applyAlignment="1">
      <alignment horizontal="center" vertical="center" wrapText="1"/>
    </xf>
    <xf numFmtId="0" fontId="4" fillId="14" borderId="2" xfId="2" applyNumberFormat="1" applyFont="1" applyFill="1" applyBorder="1" applyAlignment="1">
      <alignment horizontal="center" vertical="center" wrapText="1"/>
    </xf>
    <xf numFmtId="0" fontId="4" fillId="10" borderId="2" xfId="2" applyNumberFormat="1" applyFont="1" applyFill="1" applyBorder="1" applyAlignment="1">
      <alignment horizontal="center" vertical="center" wrapText="1"/>
    </xf>
    <xf numFmtId="0" fontId="9" fillId="5" borderId="2" xfId="2" applyNumberFormat="1" applyFont="1" applyFill="1" applyBorder="1" applyAlignment="1">
      <alignment horizontal="center" vertical="center" wrapText="1"/>
    </xf>
    <xf numFmtId="0" fontId="4" fillId="25" borderId="3" xfId="2" applyNumberFormat="1" applyFont="1" applyFill="1" applyBorder="1" applyAlignment="1">
      <alignment horizontal="center" vertical="center" wrapText="1"/>
    </xf>
    <xf numFmtId="0" fontId="4" fillId="25" borderId="0" xfId="2" applyNumberFormat="1" applyFont="1" applyFill="1" applyBorder="1" applyAlignment="1">
      <alignment horizontal="center" vertical="center" wrapText="1"/>
    </xf>
    <xf numFmtId="0" fontId="10" fillId="19" borderId="24" xfId="3" applyNumberFormat="1" applyFont="1" applyFill="1" applyBorder="1" applyAlignment="1">
      <alignment horizontal="center" vertical="center" wrapText="1"/>
    </xf>
    <xf numFmtId="14" fontId="10" fillId="19" borderId="25" xfId="3" applyNumberFormat="1" applyFont="1" applyFill="1" applyBorder="1" applyAlignment="1">
      <alignment horizontal="center" vertical="center" wrapText="1"/>
    </xf>
    <xf numFmtId="17" fontId="10" fillId="19" borderId="25" xfId="3" applyNumberFormat="1" applyFont="1" applyFill="1" applyBorder="1" applyAlignment="1">
      <alignment horizontal="center" vertical="center" wrapText="1"/>
    </xf>
    <xf numFmtId="14" fontId="4" fillId="25" borderId="1" xfId="0" applyNumberFormat="1" applyFont="1" applyFill="1" applyBorder="1" applyAlignment="1">
      <alignment horizontal="center" vertical="center" wrapText="1"/>
    </xf>
    <xf numFmtId="166" fontId="4" fillId="25" borderId="1" xfId="4" applyFont="1" applyFill="1" applyBorder="1" applyAlignment="1">
      <alignment vertical="center" wrapText="1"/>
    </xf>
    <xf numFmtId="14" fontId="1" fillId="0" borderId="0" xfId="0" applyNumberFormat="1" applyFont="1" applyAlignment="1">
      <alignment horizontal="center"/>
    </xf>
    <xf numFmtId="14" fontId="10" fillId="5" borderId="23" xfId="2" applyNumberFormat="1" applyFont="1" applyFill="1" applyBorder="1" applyAlignment="1">
      <alignment horizontal="center" vertical="center" wrapText="1"/>
    </xf>
    <xf numFmtId="14" fontId="10" fillId="6" borderId="1" xfId="2" applyNumberFormat="1" applyFont="1" applyFill="1" applyBorder="1" applyAlignment="1">
      <alignment horizontal="center" vertical="center" wrapText="1"/>
    </xf>
    <xf numFmtId="14" fontId="4" fillId="11" borderId="1" xfId="2" applyNumberFormat="1" applyFont="1" applyFill="1" applyBorder="1" applyAlignment="1">
      <alignment horizontal="center" vertical="center" wrapText="1"/>
    </xf>
    <xf numFmtId="14" fontId="4" fillId="4" borderId="1" xfId="2" applyNumberFormat="1" applyFont="1" applyFill="1" applyBorder="1" applyAlignment="1">
      <alignment horizontal="center" vertical="center" wrapText="1"/>
    </xf>
    <xf numFmtId="14" fontId="4" fillId="20" borderId="1" xfId="2" applyNumberFormat="1" applyFont="1" applyFill="1" applyBorder="1" applyAlignment="1">
      <alignment horizontal="center" vertical="center" wrapText="1"/>
    </xf>
    <xf numFmtId="14" fontId="4" fillId="2" borderId="1" xfId="2" applyNumberFormat="1" applyFont="1" applyFill="1" applyBorder="1" applyAlignment="1">
      <alignment horizontal="center" vertical="center" wrapText="1"/>
    </xf>
    <xf numFmtId="14" fontId="4" fillId="25" borderId="1" xfId="2" applyNumberFormat="1" applyFont="1" applyFill="1" applyBorder="1" applyAlignment="1">
      <alignment horizontal="center" vertical="center" wrapText="1"/>
    </xf>
    <xf numFmtId="14" fontId="4" fillId="0" borderId="1" xfId="2" applyNumberFormat="1" applyFont="1" applyFill="1" applyBorder="1" applyAlignment="1">
      <alignment horizontal="center" vertical="center" wrapText="1"/>
    </xf>
    <xf numFmtId="14" fontId="10" fillId="13" borderId="1" xfId="2" applyNumberFormat="1" applyFont="1" applyFill="1" applyBorder="1" applyAlignment="1">
      <alignment horizontal="center" vertical="center" wrapText="1"/>
    </xf>
    <xf numFmtId="14" fontId="10" fillId="12" borderId="1" xfId="2" applyNumberFormat="1" applyFont="1" applyFill="1" applyBorder="1" applyAlignment="1">
      <alignment horizontal="center" vertical="center" wrapText="1"/>
    </xf>
    <xf numFmtId="14" fontId="4" fillId="7" borderId="1" xfId="2" applyNumberFormat="1" applyFont="1" applyFill="1" applyBorder="1" applyAlignment="1">
      <alignment horizontal="center" vertical="center" wrapText="1"/>
    </xf>
    <xf numFmtId="14" fontId="4" fillId="9" borderId="1" xfId="2" applyNumberFormat="1" applyFont="1" applyFill="1" applyBorder="1" applyAlignment="1">
      <alignment horizontal="center" vertical="center" wrapText="1"/>
    </xf>
    <xf numFmtId="14" fontId="1" fillId="21" borderId="0" xfId="0" applyNumberFormat="1" applyFont="1" applyFill="1" applyBorder="1" applyAlignment="1">
      <alignment horizontal="center"/>
    </xf>
    <xf numFmtId="14" fontId="10" fillId="15" borderId="1" xfId="2" applyNumberFormat="1" applyFont="1" applyFill="1" applyBorder="1" applyAlignment="1">
      <alignment horizontal="center" vertical="center" wrapText="1"/>
    </xf>
    <xf numFmtId="14" fontId="10" fillId="8" borderId="1" xfId="2" applyNumberFormat="1" applyFont="1" applyFill="1" applyBorder="1" applyAlignment="1">
      <alignment horizontal="center" vertical="center" wrapText="1"/>
    </xf>
    <xf numFmtId="14" fontId="10" fillId="18" borderId="1" xfId="2" applyNumberFormat="1" applyFont="1" applyFill="1" applyBorder="1" applyAlignment="1">
      <alignment horizontal="center" vertical="center" wrapText="1"/>
    </xf>
    <xf numFmtId="14" fontId="10" fillId="17" borderId="1" xfId="2" applyNumberFormat="1" applyFont="1" applyFill="1" applyBorder="1" applyAlignment="1">
      <alignment horizontal="center" vertical="center" wrapText="1"/>
    </xf>
    <xf numFmtId="14" fontId="4" fillId="16" borderId="1" xfId="2" applyNumberFormat="1" applyFont="1" applyFill="1" applyBorder="1" applyAlignment="1">
      <alignment horizontal="center" vertical="center" wrapText="1"/>
    </xf>
    <xf numFmtId="14" fontId="4" fillId="16" borderId="26" xfId="2" applyNumberFormat="1" applyFont="1" applyFill="1" applyBorder="1" applyAlignment="1">
      <alignment horizontal="center" vertical="center" wrapText="1"/>
    </xf>
    <xf numFmtId="14" fontId="10" fillId="19" borderId="1" xfId="2" applyNumberFormat="1" applyFont="1" applyFill="1" applyBorder="1" applyAlignment="1">
      <alignment horizontal="center" vertical="center" wrapText="1"/>
    </xf>
    <xf numFmtId="14" fontId="4" fillId="14" borderId="1" xfId="2" applyNumberFormat="1" applyFont="1" applyFill="1" applyBorder="1" applyAlignment="1">
      <alignment horizontal="center" vertical="center" wrapText="1"/>
    </xf>
    <xf numFmtId="14" fontId="4" fillId="10" borderId="1" xfId="2" applyNumberFormat="1" applyFont="1" applyFill="1" applyBorder="1" applyAlignment="1">
      <alignment horizontal="center" vertical="center" wrapText="1"/>
    </xf>
    <xf numFmtId="14" fontId="9" fillId="5" borderId="1" xfId="2" applyNumberFormat="1" applyFont="1" applyFill="1" applyBorder="1" applyAlignment="1">
      <alignment horizontal="center" vertical="center" wrapText="1"/>
    </xf>
    <xf numFmtId="14" fontId="4" fillId="25" borderId="4" xfId="2" applyNumberFormat="1" applyFont="1" applyFill="1" applyBorder="1" applyAlignment="1">
      <alignment horizontal="center" vertical="center" wrapText="1"/>
    </xf>
    <xf numFmtId="14" fontId="4" fillId="25" borderId="0" xfId="2" applyNumberFormat="1" applyFont="1" applyFill="1" applyBorder="1" applyAlignment="1">
      <alignment horizontal="center" vertical="center" wrapText="1"/>
    </xf>
    <xf numFmtId="0" fontId="1" fillId="21" borderId="20" xfId="0" applyFont="1" applyFill="1" applyBorder="1" applyAlignment="1">
      <alignment horizontal="center" vertical="center"/>
    </xf>
    <xf numFmtId="169" fontId="4" fillId="25" borderId="1" xfId="2" applyNumberFormat="1" applyFont="1" applyFill="1" applyBorder="1" applyAlignment="1">
      <alignment horizontal="right" vertical="center" wrapText="1"/>
    </xf>
    <xf numFmtId="169" fontId="4" fillId="4" borderId="1" xfId="2" applyNumberFormat="1" applyFont="1" applyFill="1" applyBorder="1" applyAlignment="1">
      <alignment horizontal="right" vertical="center" wrapText="1"/>
    </xf>
    <xf numFmtId="169" fontId="4" fillId="20" borderId="1" xfId="2" applyNumberFormat="1" applyFont="1" applyFill="1" applyBorder="1" applyAlignment="1">
      <alignment horizontal="right" vertical="center" wrapText="1"/>
    </xf>
    <xf numFmtId="169" fontId="4" fillId="2" borderId="1" xfId="2" applyNumberFormat="1" applyFont="1" applyFill="1" applyBorder="1" applyAlignment="1">
      <alignment horizontal="right" vertical="center" wrapText="1"/>
    </xf>
    <xf numFmtId="169" fontId="10" fillId="6" borderId="1" xfId="2" applyNumberFormat="1" applyFont="1" applyFill="1" applyBorder="1" applyAlignment="1">
      <alignment horizontal="right" vertical="center" wrapText="1"/>
    </xf>
    <xf numFmtId="169" fontId="4" fillId="11" borderId="1" xfId="2" applyNumberFormat="1" applyFont="1" applyFill="1" applyBorder="1" applyAlignment="1">
      <alignment horizontal="right" vertical="center" wrapText="1"/>
    </xf>
    <xf numFmtId="169" fontId="4" fillId="0" borderId="1" xfId="2" applyNumberFormat="1" applyFont="1" applyFill="1" applyBorder="1" applyAlignment="1">
      <alignment horizontal="right" vertical="center" wrapText="1"/>
    </xf>
    <xf numFmtId="169" fontId="10" fillId="5" borderId="23" xfId="2" applyNumberFormat="1" applyFont="1" applyFill="1" applyBorder="1" applyAlignment="1">
      <alignment horizontal="right" vertical="center" wrapText="1"/>
    </xf>
    <xf numFmtId="169" fontId="4" fillId="25" borderId="1" xfId="4" applyNumberFormat="1" applyFont="1" applyFill="1" applyBorder="1" applyAlignment="1">
      <alignment vertical="center" wrapText="1"/>
    </xf>
    <xf numFmtId="169" fontId="4" fillId="25" borderId="1" xfId="4" applyNumberFormat="1" applyFont="1" applyFill="1" applyBorder="1" applyAlignment="1">
      <alignment horizontal="center" vertical="center" wrapText="1"/>
    </xf>
    <xf numFmtId="169" fontId="10" fillId="13" borderId="1" xfId="2" applyNumberFormat="1" applyFont="1" applyFill="1" applyBorder="1" applyAlignment="1">
      <alignment horizontal="right" vertical="center" wrapText="1"/>
    </xf>
    <xf numFmtId="169" fontId="10" fillId="12" borderId="1" xfId="2" applyNumberFormat="1" applyFont="1" applyFill="1" applyBorder="1" applyAlignment="1">
      <alignment horizontal="right" vertical="center" wrapText="1"/>
    </xf>
    <xf numFmtId="169" fontId="4" fillId="7" borderId="1" xfId="2" applyNumberFormat="1" applyFont="1" applyFill="1" applyBorder="1" applyAlignment="1">
      <alignment horizontal="right" vertical="center" wrapText="1"/>
    </xf>
    <xf numFmtId="169" fontId="4" fillId="9" borderId="1" xfId="2" applyNumberFormat="1" applyFont="1" applyFill="1" applyBorder="1" applyAlignment="1">
      <alignment horizontal="right" vertical="center" wrapText="1"/>
    </xf>
    <xf numFmtId="169" fontId="1" fillId="21" borderId="0" xfId="0" applyNumberFormat="1" applyFont="1" applyFill="1" applyBorder="1"/>
    <xf numFmtId="169" fontId="10" fillId="15" borderId="1" xfId="2" applyNumberFormat="1" applyFont="1" applyFill="1" applyBorder="1" applyAlignment="1">
      <alignment horizontal="right" vertical="center" wrapText="1"/>
    </xf>
    <xf numFmtId="169" fontId="10" fillId="8" borderId="1" xfId="2" applyNumberFormat="1" applyFont="1" applyFill="1" applyBorder="1" applyAlignment="1">
      <alignment horizontal="right" vertical="center" wrapText="1"/>
    </xf>
    <xf numFmtId="169" fontId="10" fillId="18" borderId="1" xfId="2" applyNumberFormat="1" applyFont="1" applyFill="1" applyBorder="1" applyAlignment="1">
      <alignment horizontal="right" vertical="center" wrapText="1"/>
    </xf>
    <xf numFmtId="169" fontId="10" fillId="17" borderId="1" xfId="2" applyNumberFormat="1" applyFont="1" applyFill="1" applyBorder="1" applyAlignment="1">
      <alignment horizontal="right" vertical="center" wrapText="1"/>
    </xf>
    <xf numFmtId="169" fontId="4" fillId="16" borderId="1" xfId="2" applyNumberFormat="1" applyFont="1" applyFill="1" applyBorder="1" applyAlignment="1">
      <alignment horizontal="right" vertical="center" wrapText="1"/>
    </xf>
    <xf numFmtId="169" fontId="4" fillId="16" borderId="26" xfId="2" applyNumberFormat="1" applyFont="1" applyFill="1" applyBorder="1" applyAlignment="1">
      <alignment horizontal="right" vertical="center" wrapText="1"/>
    </xf>
    <xf numFmtId="169" fontId="10" fillId="19" borderId="1" xfId="2" applyNumberFormat="1" applyFont="1" applyFill="1" applyBorder="1" applyAlignment="1">
      <alignment horizontal="right" vertical="center" wrapText="1"/>
    </xf>
    <xf numFmtId="169" fontId="4" fillId="14" borderId="1" xfId="2" applyNumberFormat="1" applyFont="1" applyFill="1" applyBorder="1" applyAlignment="1">
      <alignment horizontal="right" vertical="center" wrapText="1"/>
    </xf>
    <xf numFmtId="169" fontId="4" fillId="10" borderId="1" xfId="2" applyNumberFormat="1" applyFont="1" applyFill="1" applyBorder="1" applyAlignment="1">
      <alignment horizontal="right" vertical="center" wrapText="1"/>
    </xf>
    <xf numFmtId="169" fontId="9" fillId="5" borderId="1" xfId="2" applyNumberFormat="1" applyFont="1" applyFill="1" applyBorder="1" applyAlignment="1">
      <alignment horizontal="right" vertical="center" wrapText="1"/>
    </xf>
    <xf numFmtId="169" fontId="4" fillId="25" borderId="4" xfId="2" applyNumberFormat="1" applyFont="1" applyFill="1" applyBorder="1" applyAlignment="1">
      <alignment horizontal="right" vertical="center" wrapText="1"/>
    </xf>
    <xf numFmtId="0" fontId="1" fillId="27" borderId="1" xfId="0" applyFont="1" applyFill="1" applyBorder="1" applyAlignment="1">
      <alignment vertical="center" wrapText="1"/>
    </xf>
    <xf numFmtId="167" fontId="4" fillId="21" borderId="4" xfId="2" applyNumberFormat="1" applyFont="1" applyFill="1" applyBorder="1" applyAlignment="1">
      <alignment horizontal="left" vertical="center" wrapText="1"/>
    </xf>
    <xf numFmtId="0" fontId="1" fillId="26" borderId="0" xfId="0" applyFont="1" applyFill="1"/>
    <xf numFmtId="0" fontId="1" fillId="23" borderId="1" xfId="0" applyFont="1" applyFill="1" applyBorder="1" applyAlignment="1">
      <alignment vertical="center" wrapText="1"/>
    </xf>
    <xf numFmtId="0" fontId="1" fillId="23" borderId="1" xfId="0" applyFont="1" applyFill="1" applyBorder="1" applyAlignment="1">
      <alignment vertical="center"/>
    </xf>
    <xf numFmtId="167" fontId="1" fillId="0" borderId="0" xfId="0" applyNumberFormat="1" applyFont="1" applyAlignment="1">
      <alignment vertical="center"/>
    </xf>
    <xf numFmtId="0" fontId="4" fillId="21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/>
    <xf numFmtId="17" fontId="10" fillId="19" borderId="32" xfId="3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169" fontId="4" fillId="0" borderId="0" xfId="2" applyNumberFormat="1" applyFont="1" applyFill="1" applyBorder="1" applyAlignment="1">
      <alignment horizontal="right" vertical="center" wrapText="1"/>
    </xf>
    <xf numFmtId="169" fontId="14" fillId="26" borderId="1" xfId="2" applyNumberFormat="1" applyFont="1" applyFill="1" applyBorder="1" applyAlignment="1">
      <alignment horizontal="right" vertical="center" wrapText="1"/>
    </xf>
    <xf numFmtId="167" fontId="14" fillId="26" borderId="1" xfId="2" applyNumberFormat="1" applyFont="1" applyFill="1" applyBorder="1" applyAlignment="1">
      <alignment horizontal="right" vertical="center" wrapText="1"/>
    </xf>
    <xf numFmtId="0" fontId="1" fillId="28" borderId="0" xfId="0" applyFont="1" applyFill="1" applyBorder="1"/>
    <xf numFmtId="169" fontId="4" fillId="28" borderId="0" xfId="2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/>
    </xf>
    <xf numFmtId="0" fontId="1" fillId="21" borderId="1" xfId="0" applyFont="1" applyFill="1" applyBorder="1"/>
    <xf numFmtId="0" fontId="1" fillId="21" borderId="1" xfId="0" applyFont="1" applyFill="1" applyBorder="1" applyAlignment="1">
      <alignment vertical="center" wrapText="1"/>
    </xf>
    <xf numFmtId="0" fontId="1" fillId="22" borderId="1" xfId="0" applyFont="1" applyFill="1" applyBorder="1" applyAlignment="1">
      <alignment vertical="center" wrapText="1"/>
    </xf>
    <xf numFmtId="0" fontId="1" fillId="21" borderId="1" xfId="0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vertical="center" wrapText="1"/>
    </xf>
    <xf numFmtId="0" fontId="4" fillId="21" borderId="1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2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0" fillId="13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 wrapText="1"/>
    </xf>
    <xf numFmtId="0" fontId="10" fillId="18" borderId="1" xfId="0" applyFont="1" applyFill="1" applyBorder="1" applyAlignment="1">
      <alignment vertical="center" wrapText="1"/>
    </xf>
    <xf numFmtId="0" fontId="10" fillId="17" borderId="1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0" fillId="19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167" fontId="1" fillId="21" borderId="1" xfId="0" applyNumberFormat="1" applyFont="1" applyFill="1" applyBorder="1"/>
    <xf numFmtId="167" fontId="1" fillId="0" borderId="1" xfId="0" applyNumberFormat="1" applyFont="1" applyBorder="1"/>
    <xf numFmtId="167" fontId="10" fillId="12" borderId="1" xfId="0" applyNumberFormat="1" applyFont="1" applyFill="1" applyBorder="1"/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167" fontId="12" fillId="29" borderId="23" xfId="2" applyNumberFormat="1" applyFont="1" applyFill="1" applyBorder="1" applyAlignment="1">
      <alignment horizontal="right" vertical="center" wrapText="1"/>
    </xf>
    <xf numFmtId="167" fontId="12" fillId="29" borderId="1" xfId="2" applyNumberFormat="1" applyFont="1" applyFill="1" applyBorder="1" applyAlignment="1">
      <alignment horizontal="right" vertical="center" wrapText="1"/>
    </xf>
    <xf numFmtId="167" fontId="4" fillId="29" borderId="1" xfId="2" applyNumberFormat="1" applyFont="1" applyFill="1" applyBorder="1" applyAlignment="1">
      <alignment horizontal="right" vertical="center" wrapText="1"/>
    </xf>
    <xf numFmtId="0" fontId="1" fillId="21" borderId="34" xfId="0" applyFont="1" applyFill="1" applyBorder="1" applyAlignment="1">
      <alignment vertical="center"/>
    </xf>
    <xf numFmtId="0" fontId="16" fillId="19" borderId="25" xfId="3" applyFont="1" applyFill="1" applyBorder="1" applyAlignment="1">
      <alignment horizontal="center" vertical="center" wrapText="1"/>
    </xf>
    <xf numFmtId="17" fontId="5" fillId="19" borderId="1" xfId="3" applyNumberFormat="1" applyFont="1" applyFill="1" applyBorder="1" applyAlignment="1">
      <alignment horizontal="center" vertical="center" wrapText="1"/>
    </xf>
    <xf numFmtId="167" fontId="1" fillId="11" borderId="20" xfId="0" applyNumberFormat="1" applyFont="1" applyFill="1" applyBorder="1" applyAlignment="1">
      <alignment vertical="center"/>
    </xf>
    <xf numFmtId="0" fontId="1" fillId="21" borderId="1" xfId="0" applyFont="1" applyFill="1" applyBorder="1" applyAlignment="1">
      <alignment horizont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/>
    <xf numFmtId="0" fontId="1" fillId="21" borderId="2" xfId="0" applyFont="1" applyFill="1" applyBorder="1" applyAlignment="1">
      <alignment horizontal="center" vertical="center"/>
    </xf>
    <xf numFmtId="167" fontId="4" fillId="21" borderId="1" xfId="5" applyNumberFormat="1" applyFont="1" applyFill="1" applyBorder="1" applyAlignment="1">
      <alignment horizontal="right" vertical="center" wrapText="1"/>
    </xf>
    <xf numFmtId="0" fontId="1" fillId="21" borderId="1" xfId="0" applyFont="1" applyFill="1" applyBorder="1"/>
    <xf numFmtId="0" fontId="1" fillId="21" borderId="2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21" borderId="20" xfId="0" applyFont="1" applyFill="1" applyBorder="1" applyAlignment="1">
      <alignment vertical="center"/>
    </xf>
    <xf numFmtId="0" fontId="1" fillId="21" borderId="20" xfId="0" applyFont="1" applyFill="1" applyBorder="1" applyAlignment="1">
      <alignment vertical="center" wrapText="1"/>
    </xf>
    <xf numFmtId="0" fontId="1" fillId="9" borderId="2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167" fontId="1" fillId="0" borderId="1" xfId="0" applyNumberFormat="1" applyFont="1" applyBorder="1"/>
    <xf numFmtId="0" fontId="1" fillId="21" borderId="15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167" fontId="9" fillId="13" borderId="1" xfId="0" applyNumberFormat="1" applyFont="1" applyFill="1" applyBorder="1"/>
    <xf numFmtId="167" fontId="10" fillId="6" borderId="20" xfId="0" applyNumberFormat="1" applyFont="1" applyFill="1" applyBorder="1" applyAlignment="1">
      <alignment vertical="center"/>
    </xf>
    <xf numFmtId="167" fontId="10" fillId="5" borderId="29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168" fontId="12" fillId="7" borderId="1" xfId="2" applyNumberFormat="1" applyFont="1" applyFill="1" applyBorder="1" applyAlignment="1">
      <alignment horizontal="center" vertical="center" wrapText="1"/>
    </xf>
    <xf numFmtId="167" fontId="12" fillId="7" borderId="1" xfId="2" applyNumberFormat="1" applyFont="1" applyFill="1" applyBorder="1" applyAlignment="1">
      <alignment horizontal="center" vertical="center" wrapText="1"/>
    </xf>
    <xf numFmtId="167" fontId="12" fillId="7" borderId="1" xfId="2" applyNumberFormat="1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/>
    <xf numFmtId="167" fontId="3" fillId="7" borderId="20" xfId="0" applyNumberFormat="1" applyFont="1" applyFill="1" applyBorder="1" applyAlignment="1">
      <alignment vertical="center"/>
    </xf>
    <xf numFmtId="167" fontId="3" fillId="7" borderId="1" xfId="0" applyNumberFormat="1" applyFont="1" applyFill="1" applyBorder="1" applyAlignment="1">
      <alignment horizontal="center" vertical="center"/>
    </xf>
    <xf numFmtId="167" fontId="12" fillId="14" borderId="1" xfId="2" applyNumberFormat="1" applyFont="1" applyFill="1" applyBorder="1" applyAlignment="1">
      <alignment horizontal="right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vertical="center"/>
    </xf>
    <xf numFmtId="167" fontId="12" fillId="10" borderId="1" xfId="2" applyNumberFormat="1" applyFont="1" applyFill="1" applyBorder="1" applyAlignment="1">
      <alignment horizontal="right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/>
    <xf numFmtId="0" fontId="3" fillId="10" borderId="20" xfId="0" applyFont="1" applyFill="1" applyBorder="1" applyAlignment="1">
      <alignment vertical="center"/>
    </xf>
    <xf numFmtId="167" fontId="12" fillId="4" borderId="1" xfId="2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20" xfId="0" applyFont="1" applyFill="1" applyBorder="1" applyAlignment="1">
      <alignment vertical="center"/>
    </xf>
    <xf numFmtId="167" fontId="10" fillId="5" borderId="1" xfId="2" applyNumberFormat="1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3" fillId="5" borderId="20" xfId="0" applyFont="1" applyFill="1" applyBorder="1" applyAlignment="1">
      <alignment vertical="center"/>
    </xf>
    <xf numFmtId="166" fontId="3" fillId="30" borderId="1" xfId="4" applyFont="1" applyFill="1" applyBorder="1" applyAlignment="1">
      <alignment horizontal="right" vertical="center"/>
    </xf>
    <xf numFmtId="166" fontId="3" fillId="30" borderId="1" xfId="4" applyFont="1" applyFill="1" applyBorder="1" applyAlignment="1">
      <alignment vertical="center"/>
    </xf>
    <xf numFmtId="166" fontId="1" fillId="30" borderId="1" xfId="4" applyFont="1" applyFill="1" applyBorder="1" applyAlignment="1">
      <alignment horizontal="right" vertical="center"/>
    </xf>
    <xf numFmtId="166" fontId="1" fillId="30" borderId="1" xfId="4" applyFont="1" applyFill="1" applyBorder="1" applyAlignment="1">
      <alignment vertical="center"/>
    </xf>
    <xf numFmtId="166" fontId="1" fillId="30" borderId="1" xfId="4" applyFont="1" applyFill="1" applyBorder="1"/>
    <xf numFmtId="166" fontId="3" fillId="28" borderId="1" xfId="4" applyFont="1" applyFill="1" applyBorder="1" applyAlignment="1">
      <alignment vertical="center"/>
    </xf>
    <xf numFmtId="166" fontId="1" fillId="28" borderId="1" xfId="4" applyFont="1" applyFill="1" applyBorder="1" applyAlignment="1">
      <alignment vertical="center"/>
    </xf>
    <xf numFmtId="0" fontId="1" fillId="21" borderId="15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9" borderId="1" xfId="0" quotePrefix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168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31" borderId="8" xfId="0" applyFont="1" applyFill="1" applyBorder="1"/>
    <xf numFmtId="167" fontId="3" fillId="31" borderId="9" xfId="0" applyNumberFormat="1" applyFont="1" applyFill="1" applyBorder="1"/>
    <xf numFmtId="0" fontId="17" fillId="21" borderId="2" xfId="0" applyFont="1" applyFill="1" applyBorder="1" applyAlignment="1">
      <alignment horizontal="center" vertical="center"/>
    </xf>
    <xf numFmtId="0" fontId="14" fillId="21" borderId="2" xfId="0" applyFont="1" applyFill="1" applyBorder="1" applyAlignment="1">
      <alignment horizontal="center" vertical="center"/>
    </xf>
    <xf numFmtId="0" fontId="14" fillId="21" borderId="1" xfId="0" applyFont="1" applyFill="1" applyBorder="1" applyAlignment="1">
      <alignment vertical="center" wrapText="1"/>
    </xf>
    <xf numFmtId="168" fontId="14" fillId="21" borderId="1" xfId="2" applyNumberFormat="1" applyFont="1" applyFill="1" applyBorder="1" applyAlignment="1">
      <alignment horizontal="center" vertical="center" wrapText="1"/>
    </xf>
    <xf numFmtId="167" fontId="14" fillId="21" borderId="1" xfId="2" applyNumberFormat="1" applyFont="1" applyFill="1" applyBorder="1" applyAlignment="1">
      <alignment horizontal="center" vertical="center" wrapText="1"/>
    </xf>
    <xf numFmtId="167" fontId="14" fillId="29" borderId="1" xfId="2" applyNumberFormat="1" applyFont="1" applyFill="1" applyBorder="1" applyAlignment="1">
      <alignment horizontal="right" vertical="center" wrapText="1"/>
    </xf>
    <xf numFmtId="167" fontId="14" fillId="21" borderId="1" xfId="2" applyNumberFormat="1" applyFont="1" applyFill="1" applyBorder="1" applyAlignment="1">
      <alignment horizontal="right" vertical="center" wrapText="1"/>
    </xf>
    <xf numFmtId="0" fontId="14" fillId="21" borderId="1" xfId="0" applyFont="1" applyFill="1" applyBorder="1" applyAlignment="1">
      <alignment horizontal="center" vertical="center"/>
    </xf>
    <xf numFmtId="0" fontId="14" fillId="21" borderId="1" xfId="0" applyFont="1" applyFill="1" applyBorder="1"/>
    <xf numFmtId="0" fontId="14" fillId="21" borderId="20" xfId="0" applyFont="1" applyFill="1" applyBorder="1" applyAlignment="1">
      <alignment vertical="center"/>
    </xf>
    <xf numFmtId="166" fontId="14" fillId="30" borderId="1" xfId="4" applyFont="1" applyFill="1" applyBorder="1" applyAlignment="1">
      <alignment horizontal="right" vertical="center"/>
    </xf>
    <xf numFmtId="166" fontId="14" fillId="30" borderId="1" xfId="4" applyFont="1" applyFill="1" applyBorder="1" applyAlignment="1">
      <alignment vertical="center"/>
    </xf>
    <xf numFmtId="166" fontId="14" fillId="28" borderId="1" xfId="4" applyFont="1" applyFill="1" applyBorder="1" applyAlignment="1">
      <alignment vertical="center"/>
    </xf>
    <xf numFmtId="0" fontId="14" fillId="0" borderId="0" xfId="0" applyFont="1"/>
    <xf numFmtId="4" fontId="1" fillId="0" borderId="0" xfId="0" applyNumberFormat="1" applyFont="1"/>
    <xf numFmtId="4" fontId="10" fillId="19" borderId="25" xfId="3" applyNumberFormat="1" applyFont="1" applyFill="1" applyBorder="1" applyAlignment="1">
      <alignment horizontal="center" vertical="center" wrapText="1"/>
    </xf>
    <xf numFmtId="4" fontId="10" fillId="19" borderId="32" xfId="3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3" fillId="0" borderId="0" xfId="0" applyNumberFormat="1" applyFont="1"/>
    <xf numFmtId="4" fontId="4" fillId="25" borderId="1" xfId="2" applyNumberFormat="1" applyFont="1" applyFill="1" applyBorder="1" applyAlignment="1">
      <alignment horizontal="right" vertical="center" wrapText="1"/>
    </xf>
    <xf numFmtId="4" fontId="4" fillId="26" borderId="1" xfId="2" applyNumberFormat="1" applyFont="1" applyFill="1" applyBorder="1" applyAlignment="1">
      <alignment horizontal="right" vertical="center" wrapText="1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" fontId="1" fillId="0" borderId="0" xfId="0" applyNumberFormat="1" applyFont="1" applyFill="1" applyAlignment="1">
      <alignment vertical="center"/>
    </xf>
    <xf numFmtId="4" fontId="1" fillId="0" borderId="0" xfId="0" applyNumberFormat="1" applyFont="1" applyFill="1"/>
    <xf numFmtId="14" fontId="1" fillId="0" borderId="0" xfId="0" applyNumberFormat="1" applyFont="1" applyFill="1" applyAlignment="1">
      <alignment vertical="center"/>
    </xf>
    <xf numFmtId="0" fontId="1" fillId="22" borderId="1" xfId="0" applyFont="1" applyFill="1" applyBorder="1" applyAlignment="1">
      <alignment vertical="top" wrapText="1"/>
    </xf>
    <xf numFmtId="0" fontId="1" fillId="22" borderId="1" xfId="0" applyFont="1" applyFill="1" applyBorder="1" applyAlignment="1">
      <alignment horizontal="left" vertical="center" wrapText="1"/>
    </xf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167" fontId="4" fillId="26" borderId="1" xfId="2" applyNumberFormat="1" applyFont="1" applyFill="1" applyBorder="1" applyAlignment="1">
      <alignment horizontal="right" vertical="center" wrapText="1"/>
    </xf>
    <xf numFmtId="167" fontId="4" fillId="31" borderId="1" xfId="2" applyNumberFormat="1" applyFont="1" applyFill="1" applyBorder="1" applyAlignment="1">
      <alignment horizontal="right" vertical="center" wrapText="1"/>
    </xf>
    <xf numFmtId="167" fontId="1" fillId="0" borderId="20" xfId="0" applyNumberFormat="1" applyFont="1" applyBorder="1" applyAlignment="1">
      <alignment vertical="center"/>
    </xf>
    <xf numFmtId="167" fontId="3" fillId="14" borderId="1" xfId="0" applyNumberFormat="1" applyFont="1" applyFill="1" applyBorder="1"/>
    <xf numFmtId="4" fontId="4" fillId="32" borderId="1" xfId="2" applyNumberFormat="1" applyFont="1" applyFill="1" applyBorder="1" applyAlignment="1">
      <alignment horizontal="right" vertical="center" wrapText="1"/>
    </xf>
    <xf numFmtId="4" fontId="1" fillId="2" borderId="0" xfId="0" applyNumberFormat="1" applyFont="1" applyFill="1"/>
    <xf numFmtId="0" fontId="1" fillId="32" borderId="0" xfId="0" applyFont="1" applyFill="1"/>
    <xf numFmtId="4" fontId="1" fillId="32" borderId="0" xfId="0" applyNumberFormat="1" applyFont="1" applyFill="1"/>
    <xf numFmtId="0" fontId="1" fillId="32" borderId="14" xfId="0" applyFont="1" applyFill="1" applyBorder="1" applyAlignment="1">
      <alignment horizontal="center" vertical="center"/>
    </xf>
    <xf numFmtId="0" fontId="1" fillId="32" borderId="0" xfId="0" applyFont="1" applyFill="1" applyBorder="1" applyAlignment="1">
      <alignment horizontal="center" vertical="center"/>
    </xf>
    <xf numFmtId="0" fontId="1" fillId="32" borderId="2" xfId="0" applyFont="1" applyFill="1" applyBorder="1" applyAlignment="1">
      <alignment horizontal="center" vertical="center" wrapText="1"/>
    </xf>
    <xf numFmtId="0" fontId="1" fillId="32" borderId="1" xfId="0" applyFont="1" applyFill="1" applyBorder="1" applyAlignment="1">
      <alignment vertical="center" wrapText="1"/>
    </xf>
    <xf numFmtId="168" fontId="4" fillId="32" borderId="1" xfId="2" applyNumberFormat="1" applyFont="1" applyFill="1" applyBorder="1" applyAlignment="1">
      <alignment horizontal="center" vertical="center" wrapText="1"/>
    </xf>
    <xf numFmtId="167" fontId="4" fillId="32" borderId="1" xfId="2" applyNumberFormat="1" applyFont="1" applyFill="1" applyBorder="1" applyAlignment="1">
      <alignment horizontal="center" vertical="center" wrapText="1"/>
    </xf>
    <xf numFmtId="167" fontId="4" fillId="32" borderId="1" xfId="2" applyNumberFormat="1" applyFont="1" applyFill="1" applyBorder="1" applyAlignment="1">
      <alignment horizontal="right" vertical="center" wrapText="1"/>
    </xf>
    <xf numFmtId="0" fontId="1" fillId="32" borderId="1" xfId="0" applyFont="1" applyFill="1" applyBorder="1" applyAlignment="1">
      <alignment horizontal="center" vertical="center"/>
    </xf>
    <xf numFmtId="0" fontId="1" fillId="32" borderId="1" xfId="0" applyFont="1" applyFill="1" applyBorder="1"/>
    <xf numFmtId="0" fontId="1" fillId="32" borderId="20" xfId="0" applyFont="1" applyFill="1" applyBorder="1" applyAlignment="1">
      <alignment vertical="center"/>
    </xf>
    <xf numFmtId="166" fontId="1" fillId="32" borderId="1" xfId="4" applyFont="1" applyFill="1" applyBorder="1" applyAlignment="1">
      <alignment horizontal="right" vertical="center"/>
    </xf>
    <xf numFmtId="166" fontId="1" fillId="32" borderId="1" xfId="4" applyFont="1" applyFill="1" applyBorder="1" applyAlignment="1">
      <alignment vertical="center"/>
    </xf>
    <xf numFmtId="4" fontId="1" fillId="2" borderId="0" xfId="0" applyNumberFormat="1" applyFont="1" applyFill="1" applyAlignment="1">
      <alignment vertical="center"/>
    </xf>
    <xf numFmtId="170" fontId="4" fillId="21" borderId="1" xfId="9" applyNumberFormat="1" applyFont="1" applyFill="1" applyBorder="1" applyAlignment="1">
      <alignment horizontal="right" vertical="center" wrapText="1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23" borderId="2" xfId="0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/>
    </xf>
    <xf numFmtId="0" fontId="0" fillId="35" borderId="13" xfId="0" applyFill="1" applyBorder="1" applyAlignment="1">
      <alignment horizontal="center" vertical="center" wrapText="1"/>
    </xf>
    <xf numFmtId="165" fontId="0" fillId="35" borderId="13" xfId="2" applyFont="1" applyFill="1" applyBorder="1" applyAlignment="1">
      <alignment horizontal="center" vertical="center"/>
    </xf>
    <xf numFmtId="165" fontId="0" fillId="35" borderId="33" xfId="2" applyFont="1" applyFill="1" applyBorder="1" applyAlignment="1">
      <alignment horizontal="center" vertical="center"/>
    </xf>
    <xf numFmtId="0" fontId="0" fillId="0" borderId="35" xfId="0" applyBorder="1"/>
    <xf numFmtId="0" fontId="0" fillId="0" borderId="36" xfId="0" applyBorder="1" applyAlignment="1">
      <alignment horizontal="left"/>
    </xf>
    <xf numFmtId="0" fontId="0" fillId="0" borderId="0" xfId="0" applyBorder="1"/>
    <xf numFmtId="165" fontId="0" fillId="0" borderId="36" xfId="2" applyFont="1" applyBorder="1"/>
    <xf numFmtId="0" fontId="0" fillId="0" borderId="14" xfId="0" applyBorder="1"/>
    <xf numFmtId="0" fontId="0" fillId="0" borderId="0" xfId="0" applyBorder="1" applyAlignment="1">
      <alignment horizontal="left"/>
    </xf>
    <xf numFmtId="165" fontId="0" fillId="0" borderId="0" xfId="2" applyFont="1" applyBorder="1"/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5" fontId="0" fillId="0" borderId="0" xfId="2" applyFont="1" applyBorder="1" applyAlignment="1">
      <alignment horizontal="center" vertical="center"/>
    </xf>
    <xf numFmtId="165" fontId="0" fillId="0" borderId="0" xfId="0" applyNumberFormat="1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8" xfId="0" applyBorder="1"/>
    <xf numFmtId="165" fontId="0" fillId="0" borderId="18" xfId="2" applyFont="1" applyBorder="1" applyAlignment="1">
      <alignment horizontal="center" vertical="center"/>
    </xf>
    <xf numFmtId="165" fontId="0" fillId="23" borderId="42" xfId="0" applyNumberFormat="1" applyFill="1" applyBorder="1"/>
    <xf numFmtId="165" fontId="0" fillId="23" borderId="43" xfId="0" applyNumberFormat="1" applyFill="1" applyBorder="1"/>
    <xf numFmtId="165" fontId="0" fillId="23" borderId="44" xfId="0" applyNumberFormat="1" applyFill="1" applyBorder="1"/>
    <xf numFmtId="0" fontId="0" fillId="23" borderId="20" xfId="0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2" borderId="0" xfId="0" applyFill="1" applyBorder="1" applyAlignment="1">
      <alignment horizontal="left" vertical="center"/>
    </xf>
    <xf numFmtId="0" fontId="0" fillId="32" borderId="0" xfId="0" applyFill="1" applyBorder="1"/>
    <xf numFmtId="165" fontId="0" fillId="32" borderId="0" xfId="2" applyFont="1" applyFill="1" applyBorder="1" applyAlignment="1">
      <alignment horizontal="center"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21" borderId="15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0" fontId="0" fillId="26" borderId="0" xfId="0" applyFill="1" applyBorder="1" applyAlignment="1">
      <alignment horizontal="left" vertical="center"/>
    </xf>
    <xf numFmtId="0" fontId="0" fillId="26" borderId="0" xfId="0" applyFill="1" applyBorder="1"/>
    <xf numFmtId="165" fontId="0" fillId="26" borderId="0" xfId="2" applyFont="1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 wrapText="1"/>
    </xf>
    <xf numFmtId="165" fontId="0" fillId="26" borderId="1" xfId="0" applyNumberFormat="1" applyFill="1" applyBorder="1"/>
    <xf numFmtId="0" fontId="0" fillId="26" borderId="12" xfId="0" applyFill="1" applyBorder="1" applyAlignment="1">
      <alignment horizontal="center" vertical="center"/>
    </xf>
    <xf numFmtId="0" fontId="0" fillId="26" borderId="13" xfId="0" applyFill="1" applyBorder="1" applyAlignment="1">
      <alignment horizontal="center" vertical="center" wrapText="1"/>
    </xf>
    <xf numFmtId="165" fontId="0" fillId="26" borderId="13" xfId="2" applyFont="1" applyFill="1" applyBorder="1" applyAlignment="1">
      <alignment horizontal="center" vertical="center"/>
    </xf>
    <xf numFmtId="165" fontId="0" fillId="26" borderId="33" xfId="2" applyFont="1" applyFill="1" applyBorder="1" applyAlignment="1">
      <alignment horizontal="center" vertical="center"/>
    </xf>
    <xf numFmtId="0" fontId="0" fillId="26" borderId="0" xfId="0" applyFill="1"/>
    <xf numFmtId="0" fontId="0" fillId="26" borderId="35" xfId="0" applyFill="1" applyBorder="1"/>
    <xf numFmtId="0" fontId="0" fillId="26" borderId="36" xfId="0" applyFill="1" applyBorder="1" applyAlignment="1">
      <alignment horizontal="left"/>
    </xf>
    <xf numFmtId="165" fontId="0" fillId="26" borderId="36" xfId="2" applyFont="1" applyFill="1" applyBorder="1"/>
    <xf numFmtId="0" fontId="0" fillId="26" borderId="1" xfId="0" applyFill="1" applyBorder="1"/>
    <xf numFmtId="0" fontId="0" fillId="26" borderId="0" xfId="0" applyFill="1" applyBorder="1" applyAlignment="1">
      <alignment horizontal="center" vertical="center"/>
    </xf>
    <xf numFmtId="43" fontId="0" fillId="26" borderId="0" xfId="0" applyNumberFormat="1" applyFill="1"/>
    <xf numFmtId="0" fontId="1" fillId="20" borderId="1" xfId="0" quotePrefix="1" applyNumberFormat="1" applyFont="1" applyFill="1" applyBorder="1" applyAlignment="1">
      <alignment horizontal="center" vertical="center"/>
    </xf>
    <xf numFmtId="43" fontId="0" fillId="0" borderId="0" xfId="0" applyNumberFormat="1"/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4" fontId="4" fillId="25" borderId="1" xfId="2" applyNumberFormat="1" applyFont="1" applyFill="1" applyBorder="1" applyAlignment="1">
      <alignment horizontal="center" vertical="center" wrapText="1"/>
    </xf>
    <xf numFmtId="4" fontId="4" fillId="25" borderId="6" xfId="2" applyNumberFormat="1" applyFont="1" applyFill="1" applyBorder="1" applyAlignment="1">
      <alignment horizontal="center" vertical="center" wrapText="1"/>
    </xf>
    <xf numFmtId="4" fontId="4" fillId="26" borderId="6" xfId="2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Alignment="1">
      <alignment vertical="center" wrapText="1"/>
    </xf>
    <xf numFmtId="4" fontId="4" fillId="26" borderId="1" xfId="10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vertical="center"/>
    </xf>
    <xf numFmtId="0" fontId="1" fillId="28" borderId="0" xfId="0" applyFont="1" applyFill="1" applyAlignment="1">
      <alignment vertical="center"/>
    </xf>
    <xf numFmtId="164" fontId="0" fillId="0" borderId="0" xfId="9" applyFont="1"/>
    <xf numFmtId="169" fontId="4" fillId="21" borderId="1" xfId="2" applyNumberFormat="1" applyFont="1" applyFill="1" applyBorder="1" applyAlignment="1">
      <alignment horizontal="right" vertical="center" wrapText="1"/>
    </xf>
    <xf numFmtId="0" fontId="1" fillId="36" borderId="2" xfId="0" applyFont="1" applyFill="1" applyBorder="1" applyAlignment="1">
      <alignment horizontal="center" vertical="center" wrapText="1"/>
    </xf>
    <xf numFmtId="0" fontId="1" fillId="36" borderId="1" xfId="0" applyFont="1" applyFill="1" applyBorder="1" applyAlignment="1">
      <alignment vertical="center" wrapText="1"/>
    </xf>
    <xf numFmtId="168" fontId="4" fillId="36" borderId="1" xfId="2" applyNumberFormat="1" applyFont="1" applyFill="1" applyBorder="1" applyAlignment="1">
      <alignment horizontal="center" vertical="center" wrapText="1"/>
    </xf>
    <xf numFmtId="167" fontId="4" fillId="36" borderId="1" xfId="2" applyNumberFormat="1" applyFont="1" applyFill="1" applyBorder="1" applyAlignment="1">
      <alignment horizontal="center" vertical="center" wrapText="1"/>
    </xf>
    <xf numFmtId="167" fontId="4" fillId="36" borderId="1" xfId="2" applyNumberFormat="1" applyFont="1" applyFill="1" applyBorder="1" applyAlignment="1">
      <alignment horizontal="right" vertical="center" wrapText="1"/>
    </xf>
    <xf numFmtId="169" fontId="4" fillId="36" borderId="1" xfId="2" applyNumberFormat="1" applyFont="1" applyFill="1" applyBorder="1" applyAlignment="1">
      <alignment horizontal="right" vertical="center" wrapText="1"/>
    </xf>
    <xf numFmtId="0" fontId="1" fillId="36" borderId="1" xfId="0" applyFont="1" applyFill="1" applyBorder="1" applyAlignment="1">
      <alignment horizontal="center" vertical="center"/>
    </xf>
    <xf numFmtId="0" fontId="1" fillId="36" borderId="2" xfId="0" applyFont="1" applyFill="1" applyBorder="1" applyAlignment="1">
      <alignment horizontal="center" vertical="center"/>
    </xf>
    <xf numFmtId="169" fontId="4" fillId="26" borderId="1" xfId="2" applyNumberFormat="1" applyFont="1" applyFill="1" applyBorder="1" applyAlignment="1">
      <alignment horizontal="right" vertical="center" wrapText="1"/>
    </xf>
    <xf numFmtId="171" fontId="4" fillId="36" borderId="1" xfId="10" applyNumberFormat="1" applyFont="1" applyFill="1" applyBorder="1" applyAlignment="1">
      <alignment horizontal="right" vertical="center" wrapText="1"/>
    </xf>
    <xf numFmtId="0" fontId="1" fillId="37" borderId="0" xfId="0" applyFont="1" applyFill="1"/>
    <xf numFmtId="0" fontId="1" fillId="27" borderId="0" xfId="0" applyFont="1" applyFill="1"/>
    <xf numFmtId="166" fontId="1" fillId="2" borderId="1" xfId="4" applyFont="1" applyFill="1" applyBorder="1" applyAlignment="1">
      <alignment horizontal="right" vertical="center"/>
    </xf>
    <xf numFmtId="166" fontId="1" fillId="2" borderId="1" xfId="4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4" fontId="1" fillId="2" borderId="0" xfId="0" applyNumberFormat="1" applyFont="1" applyFill="1" applyAlignment="1">
      <alignment vertical="center"/>
    </xf>
    <xf numFmtId="4" fontId="4" fillId="2" borderId="1" xfId="2" applyNumberFormat="1" applyFont="1" applyFill="1" applyBorder="1" applyAlignment="1">
      <alignment horizontal="right" vertical="center" wrapText="1"/>
    </xf>
    <xf numFmtId="0" fontId="3" fillId="2" borderId="0" xfId="0" applyFont="1" applyFill="1"/>
    <xf numFmtId="164" fontId="1" fillId="2" borderId="0" xfId="9" applyFont="1" applyFill="1"/>
    <xf numFmtId="9" fontId="1" fillId="2" borderId="0" xfId="11" applyFont="1" applyFill="1"/>
    <xf numFmtId="0" fontId="14" fillId="2" borderId="0" xfId="0" applyFont="1" applyFill="1"/>
    <xf numFmtId="4" fontId="4" fillId="25" borderId="1" xfId="2" applyNumberFormat="1" applyFont="1" applyFill="1" applyBorder="1" applyAlignment="1">
      <alignment vertical="center" wrapText="1"/>
    </xf>
    <xf numFmtId="0" fontId="1" fillId="33" borderId="0" xfId="0" applyFont="1" applyFill="1" applyBorder="1" applyAlignment="1">
      <alignment vertical="center"/>
    </xf>
    <xf numFmtId="0" fontId="1" fillId="33" borderId="0" xfId="0" applyFont="1" applyFill="1" applyAlignment="1">
      <alignment vertical="center"/>
    </xf>
    <xf numFmtId="0" fontId="1" fillId="38" borderId="0" xfId="0" applyFont="1" applyFill="1" applyAlignment="1">
      <alignment vertical="center"/>
    </xf>
    <xf numFmtId="4" fontId="1" fillId="32" borderId="1" xfId="2" applyNumberFormat="1" applyFont="1" applyFill="1" applyBorder="1" applyAlignment="1">
      <alignment horizontal="right" vertical="center" wrapText="1"/>
    </xf>
    <xf numFmtId="4" fontId="1" fillId="25" borderId="1" xfId="2" applyNumberFormat="1" applyFont="1" applyFill="1" applyBorder="1" applyAlignment="1">
      <alignment horizontal="right" vertical="center" wrapText="1"/>
    </xf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169" fontId="1" fillId="0" borderId="0" xfId="0" applyNumberFormat="1" applyFont="1" applyFill="1" applyAlignment="1">
      <alignment vertical="center"/>
    </xf>
    <xf numFmtId="169" fontId="4" fillId="25" borderId="11" xfId="2" applyNumberFormat="1" applyFont="1" applyFill="1" applyBorder="1" applyAlignment="1">
      <alignment horizontal="center" vertical="center" wrapText="1"/>
    </xf>
    <xf numFmtId="169" fontId="4" fillId="25" borderId="6" xfId="2" applyNumberFormat="1" applyFont="1" applyFill="1" applyBorder="1" applyAlignment="1">
      <alignment horizontal="center" vertical="center" wrapText="1"/>
    </xf>
    <xf numFmtId="0" fontId="4" fillId="25" borderId="10" xfId="2" applyNumberFormat="1" applyFont="1" applyFill="1" applyBorder="1" applyAlignment="1">
      <alignment horizontal="center" vertical="center" wrapText="1"/>
    </xf>
    <xf numFmtId="0" fontId="4" fillId="25" borderId="5" xfId="2" applyNumberFormat="1" applyFont="1" applyFill="1" applyBorder="1" applyAlignment="1">
      <alignment horizontal="center" vertical="center" wrapText="1"/>
    </xf>
    <xf numFmtId="14" fontId="4" fillId="25" borderId="11" xfId="2" applyNumberFormat="1" applyFont="1" applyFill="1" applyBorder="1" applyAlignment="1">
      <alignment horizontal="center" vertical="center" wrapText="1"/>
    </xf>
    <xf numFmtId="14" fontId="4" fillId="25" borderId="6" xfId="2" applyNumberFormat="1" applyFont="1" applyFill="1" applyBorder="1" applyAlignment="1">
      <alignment horizontal="center" vertical="center" wrapText="1"/>
    </xf>
    <xf numFmtId="167" fontId="4" fillId="25" borderId="11" xfId="2" applyNumberFormat="1" applyFont="1" applyFill="1" applyBorder="1" applyAlignment="1">
      <alignment horizontal="center" vertical="center" wrapText="1"/>
    </xf>
    <xf numFmtId="167" fontId="4" fillId="25" borderId="6" xfId="2" applyNumberFormat="1" applyFont="1" applyFill="1" applyBorder="1" applyAlignment="1">
      <alignment horizontal="center" vertical="center" wrapText="1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21" borderId="15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0" fontId="1" fillId="21" borderId="28" xfId="0" applyFont="1" applyFill="1" applyBorder="1" applyAlignment="1">
      <alignment horizontal="center" vertical="center"/>
    </xf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1" borderId="17" xfId="0" applyFont="1" applyFill="1" applyBorder="1" applyAlignment="1">
      <alignment horizontal="center" vertical="center"/>
    </xf>
    <xf numFmtId="0" fontId="1" fillId="21" borderId="18" xfId="0" applyFont="1" applyFill="1" applyBorder="1" applyAlignment="1">
      <alignment horizontal="center" vertical="center"/>
    </xf>
    <xf numFmtId="0" fontId="10" fillId="21" borderId="12" xfId="0" applyFont="1" applyFill="1" applyBorder="1" applyAlignment="1">
      <alignment horizontal="center" vertical="center"/>
    </xf>
    <xf numFmtId="0" fontId="10" fillId="21" borderId="13" xfId="0" applyFont="1" applyFill="1" applyBorder="1" applyAlignment="1">
      <alignment horizontal="center" vertical="center"/>
    </xf>
    <xf numFmtId="167" fontId="4" fillId="25" borderId="11" xfId="2" applyNumberFormat="1" applyFont="1" applyFill="1" applyBorder="1" applyAlignment="1">
      <alignment horizontal="right" vertical="center" wrapText="1"/>
    </xf>
    <xf numFmtId="167" fontId="4" fillId="25" borderId="32" xfId="2" applyNumberFormat="1" applyFont="1" applyFill="1" applyBorder="1" applyAlignment="1">
      <alignment horizontal="right" vertical="center" wrapText="1"/>
    </xf>
    <xf numFmtId="167" fontId="4" fillId="25" borderId="6" xfId="2" applyNumberFormat="1" applyFont="1" applyFill="1" applyBorder="1" applyAlignment="1">
      <alignment horizontal="right" vertical="center" wrapText="1"/>
    </xf>
    <xf numFmtId="169" fontId="4" fillId="25" borderId="11" xfId="2" applyNumberFormat="1" applyFont="1" applyFill="1" applyBorder="1" applyAlignment="1">
      <alignment horizontal="right" vertical="center" wrapText="1"/>
    </xf>
    <xf numFmtId="169" fontId="4" fillId="25" borderId="32" xfId="2" applyNumberFormat="1" applyFont="1" applyFill="1" applyBorder="1" applyAlignment="1">
      <alignment horizontal="right" vertical="center" wrapText="1"/>
    </xf>
    <xf numFmtId="169" fontId="4" fillId="25" borderId="6" xfId="2" applyNumberFormat="1" applyFont="1" applyFill="1" applyBorder="1" applyAlignment="1">
      <alignment horizontal="right" vertical="center" wrapText="1"/>
    </xf>
    <xf numFmtId="169" fontId="4" fillId="25" borderId="32" xfId="2" applyNumberFormat="1" applyFont="1" applyFill="1" applyBorder="1" applyAlignment="1">
      <alignment horizontal="center" vertical="center" wrapText="1"/>
    </xf>
    <xf numFmtId="169" fontId="4" fillId="25" borderId="11" xfId="4" applyNumberFormat="1" applyFont="1" applyFill="1" applyBorder="1" applyAlignment="1">
      <alignment horizontal="center" vertical="center" wrapText="1"/>
    </xf>
    <xf numFmtId="169" fontId="4" fillId="25" borderId="32" xfId="4" applyNumberFormat="1" applyFont="1" applyFill="1" applyBorder="1" applyAlignment="1">
      <alignment horizontal="center" vertical="center" wrapText="1"/>
    </xf>
    <xf numFmtId="169" fontId="4" fillId="25" borderId="6" xfId="4" applyNumberFormat="1" applyFont="1" applyFill="1" applyBorder="1" applyAlignment="1">
      <alignment horizontal="center" vertical="center" wrapText="1"/>
    </xf>
    <xf numFmtId="0" fontId="4" fillId="25" borderId="31" xfId="2" applyNumberFormat="1" applyFont="1" applyFill="1" applyBorder="1" applyAlignment="1">
      <alignment horizontal="center" vertical="center" wrapText="1"/>
    </xf>
    <xf numFmtId="14" fontId="4" fillId="25" borderId="32" xfId="2" applyNumberFormat="1" applyFont="1" applyFill="1" applyBorder="1" applyAlignment="1">
      <alignment horizontal="center" vertical="center" wrapText="1"/>
    </xf>
    <xf numFmtId="167" fontId="4" fillId="25" borderId="32" xfId="2" applyNumberFormat="1" applyFont="1" applyFill="1" applyBorder="1" applyAlignment="1">
      <alignment horizontal="center" vertical="center" wrapText="1"/>
    </xf>
    <xf numFmtId="14" fontId="4" fillId="25" borderId="11" xfId="0" applyNumberFormat="1" applyFont="1" applyFill="1" applyBorder="1" applyAlignment="1">
      <alignment horizontal="center" vertical="center" wrapText="1"/>
    </xf>
    <xf numFmtId="14" fontId="4" fillId="25" borderId="32" xfId="0" applyNumberFormat="1" applyFont="1" applyFill="1" applyBorder="1" applyAlignment="1">
      <alignment horizontal="center" vertical="center" wrapText="1"/>
    </xf>
    <xf numFmtId="14" fontId="4" fillId="25" borderId="6" xfId="0" applyNumberFormat="1" applyFont="1" applyFill="1" applyBorder="1" applyAlignment="1">
      <alignment horizontal="center" vertical="center" wrapText="1"/>
    </xf>
    <xf numFmtId="166" fontId="4" fillId="25" borderId="11" xfId="4" applyFont="1" applyFill="1" applyBorder="1" applyAlignment="1">
      <alignment horizontal="center" vertical="center" wrapText="1"/>
    </xf>
    <xf numFmtId="166" fontId="4" fillId="25" borderId="32" xfId="4" applyFont="1" applyFill="1" applyBorder="1" applyAlignment="1">
      <alignment horizontal="center" vertical="center" wrapText="1"/>
    </xf>
    <xf numFmtId="166" fontId="4" fillId="25" borderId="6" xfId="4" applyFont="1" applyFill="1" applyBorder="1" applyAlignment="1">
      <alignment horizontal="center" vertical="center" wrapText="1"/>
    </xf>
    <xf numFmtId="0" fontId="4" fillId="25" borderId="10" xfId="2" applyNumberFormat="1" applyFont="1" applyFill="1" applyBorder="1" applyAlignment="1">
      <alignment horizontal="center" vertical="center"/>
    </xf>
    <xf numFmtId="0" fontId="4" fillId="25" borderId="31" xfId="2" applyNumberFormat="1" applyFont="1" applyFill="1" applyBorder="1" applyAlignment="1">
      <alignment horizontal="center" vertical="center"/>
    </xf>
    <xf numFmtId="0" fontId="4" fillId="25" borderId="5" xfId="2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4" fontId="1" fillId="0" borderId="45" xfId="0" applyNumberFormat="1" applyFont="1" applyFill="1" applyBorder="1" applyAlignment="1">
      <alignment horizontal="center" vertical="center"/>
    </xf>
    <xf numFmtId="4" fontId="4" fillId="25" borderId="11" xfId="2" applyNumberFormat="1" applyFont="1" applyFill="1" applyBorder="1" applyAlignment="1">
      <alignment horizontal="center" vertical="center" wrapText="1"/>
    </xf>
    <xf numFmtId="4" fontId="4" fillId="25" borderId="6" xfId="2" applyNumberFormat="1" applyFont="1" applyFill="1" applyBorder="1" applyAlignment="1">
      <alignment horizontal="center" vertical="center" wrapText="1"/>
    </xf>
    <xf numFmtId="4" fontId="4" fillId="26" borderId="11" xfId="2" applyNumberFormat="1" applyFont="1" applyFill="1" applyBorder="1" applyAlignment="1">
      <alignment horizontal="right" vertical="center" wrapText="1"/>
    </xf>
    <xf numFmtId="4" fontId="4" fillId="26" borderId="6" xfId="2" applyNumberFormat="1" applyFont="1" applyFill="1" applyBorder="1" applyAlignment="1">
      <alignment horizontal="right" vertical="center" wrapText="1"/>
    </xf>
    <xf numFmtId="4" fontId="4" fillId="25" borderId="1" xfId="2" applyNumberFormat="1" applyFont="1" applyFill="1" applyBorder="1" applyAlignment="1">
      <alignment horizontal="center" vertical="center" wrapText="1"/>
    </xf>
    <xf numFmtId="4" fontId="4" fillId="26" borderId="1" xfId="2" applyNumberFormat="1" applyFont="1" applyFill="1" applyBorder="1" applyAlignment="1">
      <alignment horizontal="center" vertical="center" wrapText="1"/>
    </xf>
    <xf numFmtId="0" fontId="1" fillId="28" borderId="38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4" fontId="4" fillId="25" borderId="32" xfId="2" applyNumberFormat="1" applyFont="1" applyFill="1" applyBorder="1" applyAlignment="1">
      <alignment horizontal="center" vertical="center" wrapText="1"/>
    </xf>
    <xf numFmtId="4" fontId="4" fillId="26" borderId="11" xfId="2" applyNumberFormat="1" applyFont="1" applyFill="1" applyBorder="1" applyAlignment="1">
      <alignment horizontal="center" vertical="center" wrapText="1"/>
    </xf>
    <xf numFmtId="4" fontId="4" fillId="26" borderId="32" xfId="2" applyNumberFormat="1" applyFont="1" applyFill="1" applyBorder="1" applyAlignment="1">
      <alignment horizontal="center" vertical="center" wrapText="1"/>
    </xf>
    <xf numFmtId="4" fontId="4" fillId="26" borderId="6" xfId="2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4" fontId="4" fillId="26" borderId="1" xfId="10" applyNumberFormat="1" applyFont="1" applyFill="1" applyBorder="1" applyAlignment="1">
      <alignment horizontal="center" vertical="center" wrapText="1"/>
    </xf>
    <xf numFmtId="166" fontId="1" fillId="0" borderId="38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" fontId="4" fillId="25" borderId="13" xfId="2" applyNumberFormat="1" applyFont="1" applyFill="1" applyBorder="1" applyAlignment="1">
      <alignment horizontal="center" vertical="center" wrapText="1"/>
    </xf>
    <xf numFmtId="4" fontId="4" fillId="25" borderId="0" xfId="2" applyNumberFormat="1" applyFont="1" applyFill="1" applyBorder="1" applyAlignment="1">
      <alignment horizontal="center" vertical="center" wrapText="1"/>
    </xf>
    <xf numFmtId="4" fontId="4" fillId="26" borderId="13" xfId="2" applyNumberFormat="1" applyFont="1" applyFill="1" applyBorder="1" applyAlignment="1">
      <alignment horizontal="center" vertical="center" wrapText="1"/>
    </xf>
    <xf numFmtId="4" fontId="4" fillId="26" borderId="0" xfId="2" applyNumberFormat="1" applyFont="1" applyFill="1" applyBorder="1" applyAlignment="1">
      <alignment horizontal="center" vertical="center" wrapText="1"/>
    </xf>
    <xf numFmtId="4" fontId="4" fillId="25" borderId="11" xfId="2" applyNumberFormat="1" applyFont="1" applyFill="1" applyBorder="1" applyAlignment="1">
      <alignment vertical="center" wrapText="1"/>
    </xf>
    <xf numFmtId="4" fontId="4" fillId="25" borderId="6" xfId="2" applyNumberFormat="1" applyFont="1" applyFill="1" applyBorder="1" applyAlignment="1">
      <alignment vertical="center" wrapText="1"/>
    </xf>
    <xf numFmtId="4" fontId="4" fillId="25" borderId="36" xfId="2" applyNumberFormat="1" applyFont="1" applyFill="1" applyBorder="1" applyAlignment="1">
      <alignment horizontal="center" vertical="center" wrapText="1"/>
    </xf>
    <xf numFmtId="0" fontId="1" fillId="21" borderId="33" xfId="0" applyFont="1" applyFill="1" applyBorder="1" applyAlignment="1">
      <alignment horizontal="center" vertical="center"/>
    </xf>
    <xf numFmtId="0" fontId="1" fillId="21" borderId="35" xfId="0" applyFont="1" applyFill="1" applyBorder="1" applyAlignment="1">
      <alignment horizontal="center" vertical="center"/>
    </xf>
    <xf numFmtId="0" fontId="1" fillId="21" borderId="36" xfId="0" applyFont="1" applyFill="1" applyBorder="1" applyAlignment="1">
      <alignment horizontal="center" vertical="center"/>
    </xf>
    <xf numFmtId="0" fontId="1" fillId="21" borderId="37" xfId="0" applyFont="1" applyFill="1" applyBorder="1" applyAlignment="1">
      <alignment horizontal="center" vertical="center"/>
    </xf>
    <xf numFmtId="0" fontId="1" fillId="21" borderId="34" xfId="0" applyFont="1" applyFill="1" applyBorder="1" applyAlignment="1">
      <alignment horizontal="center" vertical="center"/>
    </xf>
    <xf numFmtId="0" fontId="14" fillId="21" borderId="12" xfId="0" applyFont="1" applyFill="1" applyBorder="1" applyAlignment="1">
      <alignment horizontal="center" vertical="center"/>
    </xf>
    <xf numFmtId="0" fontId="14" fillId="21" borderId="13" xfId="0" applyFont="1" applyFill="1" applyBorder="1" applyAlignment="1">
      <alignment horizontal="center" vertical="center"/>
    </xf>
    <xf numFmtId="0" fontId="3" fillId="31" borderId="7" xfId="0" applyFont="1" applyFill="1" applyBorder="1" applyAlignment="1">
      <alignment horizontal="center" vertical="center" wrapText="1"/>
    </xf>
    <xf numFmtId="0" fontId="3" fillId="31" borderId="8" xfId="0" applyFont="1" applyFill="1" applyBorder="1" applyAlignment="1">
      <alignment horizontal="center" vertical="center" wrapText="1"/>
    </xf>
    <xf numFmtId="0" fontId="0" fillId="34" borderId="39" xfId="0" applyFill="1" applyBorder="1" applyAlignment="1">
      <alignment horizontal="center" vertical="center" wrapText="1"/>
    </xf>
    <xf numFmtId="0" fontId="0" fillId="34" borderId="40" xfId="0" applyFill="1" applyBorder="1" applyAlignment="1">
      <alignment horizontal="center" vertical="center" wrapText="1"/>
    </xf>
    <xf numFmtId="0" fontId="0" fillId="23" borderId="41" xfId="0" applyFill="1" applyBorder="1" applyAlignment="1">
      <alignment horizontal="center" vertical="center" wrapText="1"/>
    </xf>
    <xf numFmtId="0" fontId="0" fillId="23" borderId="42" xfId="0" applyFill="1" applyBorder="1" applyAlignment="1">
      <alignment horizontal="center" vertical="center" wrapText="1"/>
    </xf>
  </cellXfs>
  <cellStyles count="12">
    <cellStyle name="Énfasis1" xfId="3" builtinId="29"/>
    <cellStyle name="Millares" xfId="2" builtinId="3"/>
    <cellStyle name="Millares [0]" xfId="10" builtinId="6"/>
    <cellStyle name="Millares 2" xfId="5"/>
    <cellStyle name="Millares 2 2" xfId="7"/>
    <cellStyle name="Moneda" xfId="9" builtinId="4"/>
    <cellStyle name="Moneda [0]" xfId="4" builtinId="7"/>
    <cellStyle name="Moneda [0] 2" xfId="6"/>
    <cellStyle name="Moneda [0] 2 2" xfId="8"/>
    <cellStyle name="Normal" xfId="0" builtinId="0"/>
    <cellStyle name="Normal 2 2" xfId="1"/>
    <cellStyle name="Porcentaje" xfId="11" builtinId="5"/>
  </cellStyles>
  <dxfs count="0"/>
  <tableStyles count="0" defaultTableStyle="TableStyleMedium2" defaultPivotStyle="PivotStyleLight16"/>
  <colors>
    <mruColors>
      <color rgb="FFFFFF00"/>
      <color rgb="FFCC99FF"/>
      <color rgb="FFFFFF66"/>
      <color rgb="FF9966FF"/>
      <color rgb="FF66FF66"/>
      <color rgb="FF00FF00"/>
      <color rgb="FF99FF99"/>
      <color rgb="FFCCCCFF"/>
      <color rgb="FF6600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.PRESUPUESTO\2021\5.Excel%20cdps%20y%20compromisos\Excel%20cdps%20listado\Cdps%20a%2002-11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6)"/>
      <sheetName val="Exportar (27)"/>
    </sheetNames>
    <sheetDataSet>
      <sheetData sheetId="0"/>
      <sheetData sheetId="1">
        <row r="43">
          <cell r="N4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1:AH361"/>
  <sheetViews>
    <sheetView topLeftCell="A2" zoomScale="70" zoomScaleNormal="70" workbookViewId="0">
      <pane xSplit="12750" ySplit="2520" topLeftCell="W230" activePane="bottomRight"/>
      <selection activeCell="M1" sqref="M1"/>
      <selection pane="topRight" activeCell="AC2" sqref="AC1:AD1048576"/>
      <selection pane="bottomLeft" activeCell="A238" sqref="A238"/>
      <selection pane="bottomRight" activeCell="AA238" sqref="AA238:AD238"/>
    </sheetView>
  </sheetViews>
  <sheetFormatPr baseColWidth="10" defaultColWidth="11.5703125" defaultRowHeight="15" x14ac:dyDescent="0.2"/>
  <cols>
    <col min="1" max="1" width="3.85546875" style="1" customWidth="1"/>
    <col min="2" max="2" width="12.42578125" style="3" customWidth="1"/>
    <col min="3" max="3" width="9.85546875" style="3" customWidth="1"/>
    <col min="4" max="4" width="12.28515625" style="3" customWidth="1"/>
    <col min="5" max="6" width="8.5703125" style="3" customWidth="1"/>
    <col min="7" max="7" width="10.5703125" style="3" customWidth="1"/>
    <col min="8" max="8" width="6.7109375" style="3" customWidth="1"/>
    <col min="9" max="9" width="8.140625" style="3" customWidth="1"/>
    <col min="10" max="10" width="9" style="3" customWidth="1"/>
    <col min="11" max="11" width="16.42578125" style="3" customWidth="1"/>
    <col min="12" max="12" width="89.28515625" style="2" customWidth="1"/>
    <col min="13" max="13" width="0.28515625" style="2" customWidth="1"/>
    <col min="14" max="14" width="28.28515625" style="128" customWidth="1"/>
    <col min="15" max="15" width="23.140625" style="151" customWidth="1"/>
    <col min="16" max="16" width="22.5703125" style="151" customWidth="1"/>
    <col min="17" max="17" width="23.28515625" style="1" hidden="1" customWidth="1"/>
    <col min="18" max="18" width="22.42578125" style="1" customWidth="1"/>
    <col min="19" max="19" width="20.5703125" style="3" customWidth="1"/>
    <col min="20" max="20" width="21.7109375" style="1" customWidth="1"/>
    <col min="21" max="21" width="29" style="107" customWidth="1"/>
    <col min="22" max="22" width="17.7109375" style="295" customWidth="1"/>
    <col min="23" max="23" width="17.42578125" style="325" customWidth="1"/>
    <col min="24" max="24" width="28" style="1" customWidth="1"/>
    <col min="25" max="25" width="25.7109375" style="1" customWidth="1"/>
    <col min="26" max="26" width="23.42578125" style="1" bestFit="1" customWidth="1"/>
    <col min="27" max="27" width="28.140625" style="1" customWidth="1"/>
    <col min="28" max="28" width="21.42578125" style="1" bestFit="1" customWidth="1"/>
    <col min="29" max="29" width="29.140625" style="1" customWidth="1"/>
    <col min="30" max="30" width="23.42578125" style="1" bestFit="1" customWidth="1"/>
    <col min="31" max="32" width="11.5703125" style="1"/>
    <col min="33" max="33" width="20.7109375" style="1" customWidth="1"/>
    <col min="34" max="34" width="18.5703125" style="1" bestFit="1" customWidth="1"/>
    <col min="35" max="16384" width="11.5703125" style="1"/>
  </cols>
  <sheetData>
    <row r="1" spans="2:34" ht="15.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Z1" s="388"/>
      <c r="AA1" s="388"/>
      <c r="AB1" s="388"/>
      <c r="AC1" s="388"/>
      <c r="AD1" s="388"/>
    </row>
    <row r="2" spans="2:34" ht="15.75" x14ac:dyDescent="0.25">
      <c r="B2" s="18" t="s">
        <v>169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Z2" s="388"/>
      <c r="AA2" s="388"/>
      <c r="AB2" s="388"/>
      <c r="AC2" s="388"/>
      <c r="AD2" s="388"/>
    </row>
    <row r="3" spans="2:34" ht="15.6" customHeight="1" x14ac:dyDescent="0.25">
      <c r="B3" s="1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Z3" s="388"/>
      <c r="AA3" s="388"/>
      <c r="AB3" s="388"/>
      <c r="AC3" s="392"/>
      <c r="AD3" s="388"/>
    </row>
    <row r="4" spans="2:34" ht="15.75" x14ac:dyDescent="0.25">
      <c r="B4" s="18" t="s">
        <v>168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Z4" s="388"/>
      <c r="AA4" s="388"/>
      <c r="AB4" s="388"/>
      <c r="AC4" s="392"/>
      <c r="AD4" s="388"/>
    </row>
    <row r="5" spans="2:34" ht="15.75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Z5" s="388"/>
      <c r="AA5" s="389"/>
      <c r="AB5" s="389"/>
      <c r="AC5" s="393"/>
      <c r="AD5" s="389"/>
    </row>
    <row r="6" spans="2:34" ht="87.75" customHeight="1" thickBot="1" x14ac:dyDescent="0.25">
      <c r="B6" s="96" t="s">
        <v>134</v>
      </c>
      <c r="C6" s="97" t="s">
        <v>0</v>
      </c>
      <c r="D6" s="97" t="s">
        <v>1</v>
      </c>
      <c r="E6" s="97" t="s">
        <v>2</v>
      </c>
      <c r="F6" s="97" t="s">
        <v>3</v>
      </c>
      <c r="G6" s="97" t="s">
        <v>4</v>
      </c>
      <c r="H6" s="97" t="s">
        <v>5</v>
      </c>
      <c r="I6" s="97" t="s">
        <v>6</v>
      </c>
      <c r="J6" s="98" t="s">
        <v>135</v>
      </c>
      <c r="K6" s="213" t="s">
        <v>163</v>
      </c>
      <c r="L6" s="214" t="s">
        <v>164</v>
      </c>
      <c r="M6" s="214" t="s">
        <v>398</v>
      </c>
      <c r="N6" s="215" t="s">
        <v>160</v>
      </c>
      <c r="O6" s="214" t="s">
        <v>161</v>
      </c>
      <c r="P6" s="214" t="s">
        <v>162</v>
      </c>
      <c r="Q6" s="216" t="s">
        <v>292</v>
      </c>
      <c r="R6" s="214" t="s">
        <v>397</v>
      </c>
      <c r="S6" s="214" t="s">
        <v>165</v>
      </c>
      <c r="T6" s="214" t="s">
        <v>167</v>
      </c>
      <c r="U6" s="217" t="s">
        <v>166</v>
      </c>
      <c r="V6" s="320" t="s">
        <v>416</v>
      </c>
      <c r="W6" s="321" t="s">
        <v>417</v>
      </c>
      <c r="X6" s="322" t="s">
        <v>418</v>
      </c>
      <c r="Y6" s="322" t="s">
        <v>419</v>
      </c>
      <c r="Z6" s="387" t="s">
        <v>420</v>
      </c>
      <c r="AA6" s="387" t="s">
        <v>421</v>
      </c>
      <c r="AB6" s="387" t="s">
        <v>422</v>
      </c>
      <c r="AC6" s="387" t="s">
        <v>457</v>
      </c>
      <c r="AD6" s="387" t="s">
        <v>424</v>
      </c>
    </row>
    <row r="7" spans="2:34" ht="15.75" customHeight="1" x14ac:dyDescent="0.25">
      <c r="B7" s="19" t="s">
        <v>7</v>
      </c>
      <c r="C7" s="20" t="s">
        <v>20</v>
      </c>
      <c r="D7" s="20"/>
      <c r="E7" s="20"/>
      <c r="F7" s="20"/>
      <c r="G7" s="20"/>
      <c r="H7" s="20"/>
      <c r="I7" s="20"/>
      <c r="J7" s="192"/>
      <c r="K7" s="219"/>
      <c r="L7" s="220" t="s">
        <v>412</v>
      </c>
      <c r="M7" s="220"/>
      <c r="N7" s="221"/>
      <c r="O7" s="222">
        <f>+P7-S7</f>
        <v>0</v>
      </c>
      <c r="P7" s="222">
        <f>+R7-Q7</f>
        <v>0</v>
      </c>
      <c r="Q7" s="223">
        <f>+Q8+Q31</f>
        <v>5173000000</v>
      </c>
      <c r="R7" s="191">
        <f>+R8+R31</f>
        <v>5173000000</v>
      </c>
      <c r="S7" s="227"/>
      <c r="T7" s="224"/>
      <c r="U7" s="249"/>
      <c r="V7" s="296"/>
      <c r="W7" s="326"/>
      <c r="X7" s="191"/>
      <c r="Y7" s="191"/>
      <c r="Z7" s="359"/>
      <c r="AA7" s="359"/>
      <c r="AB7" s="359"/>
      <c r="AC7" s="359"/>
      <c r="AD7" s="359"/>
      <c r="AG7" s="273"/>
      <c r="AH7" s="273"/>
    </row>
    <row r="8" spans="2:34" s="18" customFormat="1" ht="15.75" customHeight="1" x14ac:dyDescent="0.25">
      <c r="B8" s="26" t="s">
        <v>7</v>
      </c>
      <c r="C8" s="27" t="s">
        <v>20</v>
      </c>
      <c r="D8" s="27" t="s">
        <v>8</v>
      </c>
      <c r="E8" s="27"/>
      <c r="F8" s="27"/>
      <c r="G8" s="27"/>
      <c r="H8" s="27"/>
      <c r="I8" s="27"/>
      <c r="J8" s="193"/>
      <c r="K8" s="26"/>
      <c r="L8" s="28" t="s">
        <v>25</v>
      </c>
      <c r="M8" s="28"/>
      <c r="N8" s="129"/>
      <c r="O8" s="152"/>
      <c r="P8" s="152"/>
      <c r="Q8" s="127">
        <f>+Q9</f>
        <v>386000000</v>
      </c>
      <c r="R8" s="29">
        <f>+R9</f>
        <v>386000000</v>
      </c>
      <c r="S8" s="242"/>
      <c r="T8" s="243"/>
      <c r="U8" s="250"/>
      <c r="V8" s="297"/>
      <c r="W8" s="327"/>
      <c r="X8" s="29"/>
      <c r="Y8" s="29"/>
      <c r="Z8" s="356"/>
      <c r="AA8" s="356"/>
      <c r="AB8" s="356"/>
      <c r="AC8" s="356"/>
      <c r="AD8" s="356"/>
      <c r="AG8" s="273"/>
      <c r="AH8" s="273"/>
    </row>
    <row r="9" spans="2:34" ht="15" customHeight="1" x14ac:dyDescent="0.2">
      <c r="B9" s="41" t="s">
        <v>7</v>
      </c>
      <c r="C9" s="42" t="s">
        <v>20</v>
      </c>
      <c r="D9" s="42" t="s">
        <v>8</v>
      </c>
      <c r="E9" s="42" t="s">
        <v>8</v>
      </c>
      <c r="F9" s="42"/>
      <c r="G9" s="42"/>
      <c r="H9" s="42"/>
      <c r="I9" s="42"/>
      <c r="J9" s="194"/>
      <c r="K9" s="41"/>
      <c r="L9" s="43" t="s">
        <v>26</v>
      </c>
      <c r="M9" s="43"/>
      <c r="N9" s="130"/>
      <c r="O9" s="153"/>
      <c r="P9" s="153"/>
      <c r="Q9" s="125">
        <f>+Q10+Q24</f>
        <v>386000000</v>
      </c>
      <c r="R9" s="44">
        <f>+R10+R24</f>
        <v>386000000</v>
      </c>
      <c r="S9" s="180"/>
      <c r="T9" s="45"/>
      <c r="U9" s="251"/>
      <c r="V9" s="298"/>
      <c r="W9" s="328"/>
      <c r="X9" s="44"/>
      <c r="Y9" s="44"/>
      <c r="Z9" s="357"/>
      <c r="AA9" s="357"/>
      <c r="AB9" s="357"/>
      <c r="AC9" s="357"/>
      <c r="AD9" s="357"/>
      <c r="AG9" s="273"/>
      <c r="AH9" s="273"/>
    </row>
    <row r="10" spans="2:34" ht="15" customHeight="1" x14ac:dyDescent="0.2">
      <c r="B10" s="13" t="s">
        <v>7</v>
      </c>
      <c r="C10" s="14" t="s">
        <v>20</v>
      </c>
      <c r="D10" s="14" t="s">
        <v>8</v>
      </c>
      <c r="E10" s="14" t="s">
        <v>8</v>
      </c>
      <c r="F10" s="14" t="s">
        <v>12</v>
      </c>
      <c r="G10" s="14"/>
      <c r="H10" s="14"/>
      <c r="I10" s="14"/>
      <c r="J10" s="195"/>
      <c r="K10" s="13"/>
      <c r="L10" s="15" t="s">
        <v>36</v>
      </c>
      <c r="M10" s="15"/>
      <c r="N10" s="131"/>
      <c r="O10" s="154"/>
      <c r="P10" s="154"/>
      <c r="Q10" s="125">
        <f>+Q11+Q16</f>
        <v>283000000</v>
      </c>
      <c r="R10" s="16">
        <f>+R11+R16</f>
        <v>238000000</v>
      </c>
      <c r="S10" s="14"/>
      <c r="T10" s="17"/>
      <c r="U10" s="252"/>
      <c r="V10" s="299"/>
      <c r="W10" s="329"/>
      <c r="X10" s="16"/>
      <c r="Y10" s="16"/>
      <c r="Z10" s="353"/>
      <c r="AA10" s="353"/>
      <c r="AB10" s="353"/>
      <c r="AC10" s="353"/>
      <c r="AD10" s="353"/>
      <c r="AG10" s="273"/>
      <c r="AH10" s="273"/>
    </row>
    <row r="11" spans="2:34" ht="15" customHeight="1" x14ac:dyDescent="0.2">
      <c r="B11" s="91" t="s">
        <v>7</v>
      </c>
      <c r="C11" s="92" t="s">
        <v>20</v>
      </c>
      <c r="D11" s="92" t="s">
        <v>8</v>
      </c>
      <c r="E11" s="92" t="s">
        <v>8</v>
      </c>
      <c r="F11" s="92" t="s">
        <v>12</v>
      </c>
      <c r="G11" s="92" t="s">
        <v>12</v>
      </c>
      <c r="H11" s="92"/>
      <c r="I11" s="92"/>
      <c r="J11" s="196"/>
      <c r="K11" s="91"/>
      <c r="L11" s="93" t="s">
        <v>39</v>
      </c>
      <c r="M11" s="93"/>
      <c r="N11" s="132"/>
      <c r="O11" s="155"/>
      <c r="P11" s="155"/>
      <c r="Q11" s="125">
        <f>SUM(Q14:Q14)</f>
        <v>110000000</v>
      </c>
      <c r="R11" s="94">
        <f>SUM(R12,R14)</f>
        <v>110000000</v>
      </c>
      <c r="S11" s="92"/>
      <c r="T11" s="95"/>
      <c r="U11" s="244"/>
      <c r="V11" s="300"/>
      <c r="W11" s="330"/>
      <c r="X11" s="94"/>
      <c r="Y11" s="94"/>
      <c r="Z11" s="354"/>
      <c r="AA11" s="354"/>
      <c r="AB11" s="354"/>
      <c r="AC11" s="354"/>
      <c r="AD11" s="354"/>
      <c r="AG11" s="273"/>
      <c r="AH11" s="273"/>
    </row>
    <row r="12" spans="2:34" ht="15" customHeight="1" x14ac:dyDescent="0.2">
      <c r="B12" s="11" t="s">
        <v>7</v>
      </c>
      <c r="C12" s="4" t="s">
        <v>20</v>
      </c>
      <c r="D12" s="4" t="s">
        <v>8</v>
      </c>
      <c r="E12" s="4" t="s">
        <v>8</v>
      </c>
      <c r="F12" s="4" t="s">
        <v>12</v>
      </c>
      <c r="G12" s="4" t="s">
        <v>12</v>
      </c>
      <c r="H12" s="233" t="s">
        <v>20</v>
      </c>
      <c r="I12" s="4"/>
      <c r="J12" s="197"/>
      <c r="K12" s="11"/>
      <c r="L12" s="6" t="s">
        <v>40</v>
      </c>
      <c r="M12" s="6"/>
      <c r="N12" s="133"/>
      <c r="O12" s="156"/>
      <c r="P12" s="156"/>
      <c r="Q12" s="5"/>
      <c r="R12" s="5">
        <f>SUM(R13)</f>
        <v>110000000</v>
      </c>
      <c r="S12" s="4"/>
      <c r="T12" s="288"/>
      <c r="U12" s="289"/>
      <c r="V12" s="301"/>
      <c r="W12" s="331"/>
      <c r="X12" s="5"/>
      <c r="Y12" s="5"/>
      <c r="Z12" s="355"/>
      <c r="AA12" s="355"/>
      <c r="AB12" s="355"/>
      <c r="AC12" s="355"/>
      <c r="AD12" s="355"/>
      <c r="AG12" s="273"/>
      <c r="AH12" s="273"/>
    </row>
    <row r="13" spans="2:34" ht="15" customHeight="1" x14ac:dyDescent="0.2">
      <c r="B13" s="99"/>
      <c r="C13" s="182"/>
      <c r="D13" s="182"/>
      <c r="E13" s="182"/>
      <c r="F13" s="182"/>
      <c r="G13" s="182"/>
      <c r="H13" s="182"/>
      <c r="I13" s="182"/>
      <c r="J13" s="351"/>
      <c r="K13" s="99"/>
      <c r="L13" s="100" t="s">
        <v>429</v>
      </c>
      <c r="M13" s="93"/>
      <c r="N13" s="134"/>
      <c r="O13" s="157"/>
      <c r="P13" s="157"/>
      <c r="Q13" s="101"/>
      <c r="R13" s="101">
        <v>110000000</v>
      </c>
      <c r="S13" s="182"/>
      <c r="T13" s="102"/>
      <c r="U13" s="253"/>
      <c r="V13" s="302">
        <v>21620</v>
      </c>
      <c r="W13" s="332">
        <v>43917</v>
      </c>
      <c r="X13" s="174">
        <v>110000000</v>
      </c>
      <c r="Y13" s="174">
        <v>110000000</v>
      </c>
      <c r="Z13" s="352">
        <v>94796101</v>
      </c>
      <c r="AA13" s="352">
        <f>+R13-Y13</f>
        <v>0</v>
      </c>
      <c r="AB13" s="352">
        <f>+Z13-AA13</f>
        <v>94796101</v>
      </c>
      <c r="AC13" s="352">
        <f>IF(Z13=0,"0",IF(Z13&gt;0,Y13-Z13,))</f>
        <v>15203899</v>
      </c>
      <c r="AD13" s="352">
        <f>+R13-Y13+AB13</f>
        <v>94796101</v>
      </c>
      <c r="AG13" s="273"/>
      <c r="AH13" s="273"/>
    </row>
    <row r="14" spans="2:34" ht="15" customHeight="1" x14ac:dyDescent="0.2">
      <c r="B14" s="11" t="s">
        <v>7</v>
      </c>
      <c r="C14" s="4" t="s">
        <v>20</v>
      </c>
      <c r="D14" s="4" t="s">
        <v>8</v>
      </c>
      <c r="E14" s="4" t="s">
        <v>8</v>
      </c>
      <c r="F14" s="4" t="s">
        <v>12</v>
      </c>
      <c r="G14" s="4" t="s">
        <v>12</v>
      </c>
      <c r="H14" s="4" t="s">
        <v>30</v>
      </c>
      <c r="I14" s="4"/>
      <c r="J14" s="197"/>
      <c r="K14" s="11"/>
      <c r="L14" s="6" t="s">
        <v>146</v>
      </c>
      <c r="M14" s="6"/>
      <c r="N14" s="133"/>
      <c r="O14" s="156"/>
      <c r="P14" s="156"/>
      <c r="Q14" s="125">
        <v>110000000</v>
      </c>
      <c r="R14" s="5">
        <f>SUM(R15:R15)</f>
        <v>0</v>
      </c>
      <c r="S14" s="181"/>
      <c r="T14" s="9"/>
      <c r="U14" s="245"/>
      <c r="V14" s="301"/>
      <c r="W14" s="331"/>
      <c r="X14" s="5"/>
      <c r="Y14" s="5"/>
      <c r="Z14" s="355"/>
      <c r="AA14" s="355"/>
      <c r="AB14" s="355"/>
      <c r="AC14" s="355"/>
      <c r="AD14" s="355"/>
      <c r="AG14" s="273"/>
      <c r="AH14" s="273"/>
    </row>
    <row r="15" spans="2:34" ht="30" customHeight="1" x14ac:dyDescent="0.2">
      <c r="B15" s="677"/>
      <c r="C15" s="678"/>
      <c r="D15" s="678"/>
      <c r="E15" s="678"/>
      <c r="F15" s="678"/>
      <c r="G15" s="678"/>
      <c r="H15" s="678"/>
      <c r="I15" s="678"/>
      <c r="J15" s="678"/>
      <c r="K15" s="99"/>
      <c r="L15" s="100" t="s">
        <v>219</v>
      </c>
      <c r="M15" s="134">
        <v>43876</v>
      </c>
      <c r="N15" s="134">
        <v>43905</v>
      </c>
      <c r="O15" s="157" t="s">
        <v>332</v>
      </c>
      <c r="P15" s="157" t="s">
        <v>334</v>
      </c>
      <c r="Q15" s="125"/>
      <c r="R15" s="101">
        <f>110000000-110000000</f>
        <v>0</v>
      </c>
      <c r="S15" s="182" t="s">
        <v>386</v>
      </c>
      <c r="T15" s="102"/>
      <c r="U15" s="253" t="s">
        <v>221</v>
      </c>
      <c r="V15" s="302"/>
      <c r="W15" s="323"/>
      <c r="X15" s="324"/>
      <c r="Y15" s="324"/>
      <c r="Z15" s="360"/>
      <c r="AA15" s="361"/>
      <c r="AB15" s="360" t="str">
        <f>IF(Z15=0,"0",IF(Z15&gt;0,Y15-Z15,))</f>
        <v>0</v>
      </c>
      <c r="AC15" s="352" t="str">
        <f>IF(Z15=0,"0",IF(Z15&gt;0,Y15-Z15,))</f>
        <v>0</v>
      </c>
      <c r="AD15" s="352">
        <f>+R15-Y15+AB15</f>
        <v>0</v>
      </c>
      <c r="AG15" s="273"/>
      <c r="AH15" s="273"/>
    </row>
    <row r="16" spans="2:34" ht="15" customHeight="1" x14ac:dyDescent="0.2">
      <c r="B16" s="91" t="s">
        <v>7</v>
      </c>
      <c r="C16" s="92" t="s">
        <v>20</v>
      </c>
      <c r="D16" s="92" t="s">
        <v>8</v>
      </c>
      <c r="E16" s="92" t="s">
        <v>8</v>
      </c>
      <c r="F16" s="92" t="s">
        <v>12</v>
      </c>
      <c r="G16" s="92" t="s">
        <v>13</v>
      </c>
      <c r="H16" s="92"/>
      <c r="I16" s="92"/>
      <c r="J16" s="196"/>
      <c r="K16" s="91"/>
      <c r="L16" s="93" t="s">
        <v>42</v>
      </c>
      <c r="M16" s="93"/>
      <c r="N16" s="132"/>
      <c r="O16" s="155"/>
      <c r="P16" s="155"/>
      <c r="Q16" s="125">
        <f>SUM(Q17:Q17)</f>
        <v>173000000</v>
      </c>
      <c r="R16" s="94">
        <f>SUM(R17:R17)</f>
        <v>128000000</v>
      </c>
      <c r="S16" s="92"/>
      <c r="T16" s="95"/>
      <c r="U16" s="244"/>
      <c r="V16" s="300"/>
      <c r="W16" s="330"/>
      <c r="X16" s="94"/>
      <c r="Y16" s="94"/>
      <c r="Z16" s="354"/>
      <c r="AA16" s="354"/>
      <c r="AB16" s="354"/>
      <c r="AC16" s="354"/>
      <c r="AD16" s="354"/>
      <c r="AG16" s="273"/>
      <c r="AH16" s="273"/>
    </row>
    <row r="17" spans="2:34" ht="17.649999999999999" customHeight="1" x14ac:dyDescent="0.2">
      <c r="B17" s="11" t="s">
        <v>7</v>
      </c>
      <c r="C17" s="4" t="s">
        <v>20</v>
      </c>
      <c r="D17" s="4" t="s">
        <v>8</v>
      </c>
      <c r="E17" s="4" t="s">
        <v>8</v>
      </c>
      <c r="F17" s="4" t="s">
        <v>12</v>
      </c>
      <c r="G17" s="4" t="s">
        <v>13</v>
      </c>
      <c r="H17" s="4" t="s">
        <v>20</v>
      </c>
      <c r="I17" s="4"/>
      <c r="J17" s="197"/>
      <c r="K17" s="11"/>
      <c r="L17" s="6" t="s">
        <v>290</v>
      </c>
      <c r="M17" s="6"/>
      <c r="N17" s="133"/>
      <c r="O17" s="156"/>
      <c r="P17" s="156"/>
      <c r="Q17" s="125">
        <v>173000000</v>
      </c>
      <c r="R17" s="5">
        <f>SUM(R18:R23)</f>
        <v>128000000</v>
      </c>
      <c r="S17" s="183"/>
      <c r="T17" s="9"/>
      <c r="U17" s="245"/>
      <c r="V17" s="301"/>
      <c r="W17" s="331"/>
      <c r="X17" s="5"/>
      <c r="Y17" s="5"/>
      <c r="Z17" s="355"/>
      <c r="AA17" s="355"/>
      <c r="AB17" s="355"/>
      <c r="AC17" s="355"/>
      <c r="AD17" s="355"/>
      <c r="AG17" s="273"/>
      <c r="AH17" s="273"/>
    </row>
    <row r="18" spans="2:34" ht="17.649999999999999" customHeight="1" x14ac:dyDescent="0.2">
      <c r="B18" s="117"/>
      <c r="C18" s="118"/>
      <c r="D18" s="118"/>
      <c r="E18" s="118"/>
      <c r="F18" s="118"/>
      <c r="G18" s="118"/>
      <c r="H18" s="118"/>
      <c r="I18" s="118"/>
      <c r="J18" s="118"/>
      <c r="K18" s="99">
        <v>43211500</v>
      </c>
      <c r="L18" s="100" t="s">
        <v>283</v>
      </c>
      <c r="M18" s="134">
        <v>43845</v>
      </c>
      <c r="N18" s="134">
        <v>43876</v>
      </c>
      <c r="O18" s="157" t="s">
        <v>294</v>
      </c>
      <c r="P18" s="157" t="s">
        <v>384</v>
      </c>
      <c r="Q18" s="125"/>
      <c r="R18" s="101">
        <v>70000000</v>
      </c>
      <c r="S18" s="182" t="s">
        <v>386</v>
      </c>
      <c r="T18" s="102"/>
      <c r="U18" s="253" t="s">
        <v>181</v>
      </c>
      <c r="V18" s="671">
        <v>8020</v>
      </c>
      <c r="W18" s="702">
        <v>43852</v>
      </c>
      <c r="X18" s="705">
        <v>128000000</v>
      </c>
      <c r="Y18" s="705">
        <v>128000000</v>
      </c>
      <c r="Z18" s="696">
        <v>0</v>
      </c>
      <c r="AA18" s="696">
        <f>+(+R18+R19+R20+R21+R22+R23)-X18</f>
        <v>0</v>
      </c>
      <c r="AB18" s="696">
        <f>+Y18-Z18</f>
        <v>128000000</v>
      </c>
      <c r="AC18" s="696" t="str">
        <f>IF(Z18=0,"0",IF(Z18&gt;0,Y18-Z18,))</f>
        <v>0</v>
      </c>
      <c r="AD18" s="669">
        <f>+(R18+R19+R20+R21+R22+R23)-Y18+AB18</f>
        <v>128000000</v>
      </c>
      <c r="AG18" s="273"/>
      <c r="AH18" s="273"/>
    </row>
    <row r="19" spans="2:34" ht="17.649999999999999" customHeight="1" x14ac:dyDescent="0.2">
      <c r="B19" s="119"/>
      <c r="C19" s="120"/>
      <c r="D19" s="120"/>
      <c r="E19" s="120"/>
      <c r="F19" s="120"/>
      <c r="G19" s="120"/>
      <c r="H19" s="120"/>
      <c r="I19" s="120"/>
      <c r="J19" s="120"/>
      <c r="K19" s="99">
        <v>43212100</v>
      </c>
      <c r="L19" s="100" t="s">
        <v>295</v>
      </c>
      <c r="M19" s="134">
        <v>43876</v>
      </c>
      <c r="N19" s="134">
        <v>43905</v>
      </c>
      <c r="O19" s="157" t="s">
        <v>294</v>
      </c>
      <c r="P19" s="157" t="s">
        <v>319</v>
      </c>
      <c r="Q19" s="125"/>
      <c r="R19" s="101">
        <v>30000000</v>
      </c>
      <c r="S19" s="182" t="s">
        <v>386</v>
      </c>
      <c r="T19" s="102"/>
      <c r="U19" s="253" t="s">
        <v>181</v>
      </c>
      <c r="V19" s="699"/>
      <c r="W19" s="703"/>
      <c r="X19" s="706"/>
      <c r="Y19" s="706"/>
      <c r="Z19" s="697"/>
      <c r="AA19" s="697"/>
      <c r="AB19" s="697"/>
      <c r="AC19" s="697"/>
      <c r="AD19" s="695"/>
      <c r="AG19" s="273"/>
      <c r="AH19" s="273"/>
    </row>
    <row r="20" spans="2:34" ht="17.649999999999999" customHeight="1" x14ac:dyDescent="0.2">
      <c r="B20" s="119"/>
      <c r="C20" s="120"/>
      <c r="D20" s="120"/>
      <c r="E20" s="120"/>
      <c r="F20" s="120"/>
      <c r="G20" s="120"/>
      <c r="H20" s="120"/>
      <c r="I20" s="120"/>
      <c r="J20" s="120"/>
      <c r="K20" s="99">
        <v>43212100</v>
      </c>
      <c r="L20" s="100" t="s">
        <v>284</v>
      </c>
      <c r="M20" s="134">
        <v>43845</v>
      </c>
      <c r="N20" s="134">
        <v>43876</v>
      </c>
      <c r="O20" s="157" t="s">
        <v>294</v>
      </c>
      <c r="P20" s="157" t="s">
        <v>384</v>
      </c>
      <c r="Q20" s="125"/>
      <c r="R20" s="101">
        <v>13000000</v>
      </c>
      <c r="S20" s="182" t="s">
        <v>386</v>
      </c>
      <c r="T20" s="102"/>
      <c r="U20" s="253" t="s">
        <v>181</v>
      </c>
      <c r="V20" s="699"/>
      <c r="W20" s="703"/>
      <c r="X20" s="706"/>
      <c r="Y20" s="706"/>
      <c r="Z20" s="697"/>
      <c r="AA20" s="697"/>
      <c r="AB20" s="697"/>
      <c r="AC20" s="697"/>
      <c r="AD20" s="695"/>
      <c r="AG20" s="273"/>
      <c r="AH20" s="273"/>
    </row>
    <row r="21" spans="2:34" ht="17.649999999999999" customHeight="1" x14ac:dyDescent="0.2">
      <c r="B21" s="119"/>
      <c r="C21" s="120"/>
      <c r="D21" s="120"/>
      <c r="E21" s="120"/>
      <c r="F21" s="120"/>
      <c r="G21" s="120"/>
      <c r="H21" s="120"/>
      <c r="I21" s="120"/>
      <c r="J21" s="120"/>
      <c r="K21" s="99">
        <v>43211900</v>
      </c>
      <c r="L21" s="100" t="s">
        <v>285</v>
      </c>
      <c r="M21" s="134">
        <v>43876</v>
      </c>
      <c r="N21" s="134">
        <v>43905</v>
      </c>
      <c r="O21" s="157" t="s">
        <v>294</v>
      </c>
      <c r="P21" s="157" t="s">
        <v>319</v>
      </c>
      <c r="Q21" s="125"/>
      <c r="R21" s="101">
        <v>3000000</v>
      </c>
      <c r="S21" s="182" t="s">
        <v>386</v>
      </c>
      <c r="T21" s="102"/>
      <c r="U21" s="253" t="s">
        <v>181</v>
      </c>
      <c r="V21" s="699"/>
      <c r="W21" s="703"/>
      <c r="X21" s="706"/>
      <c r="Y21" s="706"/>
      <c r="Z21" s="697"/>
      <c r="AA21" s="697"/>
      <c r="AB21" s="697"/>
      <c r="AC21" s="697"/>
      <c r="AD21" s="695"/>
      <c r="AG21" s="273"/>
      <c r="AH21" s="273"/>
    </row>
    <row r="22" spans="2:34" ht="17.649999999999999" customHeight="1" x14ac:dyDescent="0.2">
      <c r="B22" s="119"/>
      <c r="C22" s="120"/>
      <c r="D22" s="120"/>
      <c r="E22" s="120"/>
      <c r="F22" s="120"/>
      <c r="G22" s="120"/>
      <c r="H22" s="120"/>
      <c r="I22" s="120"/>
      <c r="J22" s="120"/>
      <c r="K22" s="99">
        <v>43212200</v>
      </c>
      <c r="L22" s="100" t="s">
        <v>286</v>
      </c>
      <c r="M22" s="134">
        <v>43876</v>
      </c>
      <c r="N22" s="134">
        <v>43905</v>
      </c>
      <c r="O22" s="157" t="s">
        <v>294</v>
      </c>
      <c r="P22" s="157" t="s">
        <v>319</v>
      </c>
      <c r="Q22" s="125"/>
      <c r="R22" s="101">
        <v>10000000</v>
      </c>
      <c r="S22" s="182" t="s">
        <v>386</v>
      </c>
      <c r="T22" s="102"/>
      <c r="U22" s="253" t="s">
        <v>181</v>
      </c>
      <c r="V22" s="699"/>
      <c r="W22" s="703"/>
      <c r="X22" s="706"/>
      <c r="Y22" s="706"/>
      <c r="Z22" s="697"/>
      <c r="AA22" s="697"/>
      <c r="AB22" s="697"/>
      <c r="AC22" s="697"/>
      <c r="AD22" s="695"/>
      <c r="AG22" s="273"/>
      <c r="AH22" s="273"/>
    </row>
    <row r="23" spans="2:34" ht="17.649999999999999" customHeight="1" x14ac:dyDescent="0.2">
      <c r="B23" s="119"/>
      <c r="C23" s="120"/>
      <c r="D23" s="120"/>
      <c r="E23" s="120"/>
      <c r="F23" s="120"/>
      <c r="G23" s="120"/>
      <c r="H23" s="120"/>
      <c r="I23" s="120"/>
      <c r="J23" s="120"/>
      <c r="K23" s="99">
        <v>43201600</v>
      </c>
      <c r="L23" s="100" t="s">
        <v>293</v>
      </c>
      <c r="M23" s="134">
        <v>43876</v>
      </c>
      <c r="N23" s="134">
        <v>43905</v>
      </c>
      <c r="O23" s="157" t="s">
        <v>294</v>
      </c>
      <c r="P23" s="157" t="s">
        <v>319</v>
      </c>
      <c r="Q23" s="125"/>
      <c r="R23" s="101">
        <v>2000000</v>
      </c>
      <c r="S23" s="182" t="s">
        <v>386</v>
      </c>
      <c r="T23" s="102"/>
      <c r="U23" s="253" t="s">
        <v>181</v>
      </c>
      <c r="V23" s="672"/>
      <c r="W23" s="704"/>
      <c r="X23" s="707"/>
      <c r="Y23" s="707"/>
      <c r="Z23" s="698"/>
      <c r="AA23" s="698"/>
      <c r="AB23" s="698"/>
      <c r="AC23" s="698"/>
      <c r="AD23" s="670"/>
      <c r="AG23" s="273"/>
      <c r="AH23" s="273"/>
    </row>
    <row r="24" spans="2:34" ht="15" customHeight="1" x14ac:dyDescent="0.2">
      <c r="B24" s="13" t="s">
        <v>7</v>
      </c>
      <c r="C24" s="14" t="s">
        <v>20</v>
      </c>
      <c r="D24" s="14" t="s">
        <v>8</v>
      </c>
      <c r="E24" s="14" t="s">
        <v>8</v>
      </c>
      <c r="F24" s="14" t="s">
        <v>14</v>
      </c>
      <c r="G24" s="14"/>
      <c r="H24" s="14"/>
      <c r="I24" s="14"/>
      <c r="J24" s="195"/>
      <c r="K24" s="13"/>
      <c r="L24" s="15" t="s">
        <v>44</v>
      </c>
      <c r="M24" s="15"/>
      <c r="N24" s="131"/>
      <c r="O24" s="154"/>
      <c r="P24" s="154"/>
      <c r="Q24" s="125">
        <f t="shared" ref="Q24:R27" si="0">+Q25</f>
        <v>103000000</v>
      </c>
      <c r="R24" s="16">
        <f t="shared" si="0"/>
        <v>148000000</v>
      </c>
      <c r="S24" s="14"/>
      <c r="T24" s="17"/>
      <c r="U24" s="252"/>
      <c r="V24" s="299"/>
      <c r="W24" s="329"/>
      <c r="X24" s="16"/>
      <c r="Y24" s="16"/>
      <c r="Z24" s="353"/>
      <c r="AA24" s="353"/>
      <c r="AB24" s="353"/>
      <c r="AC24" s="353"/>
      <c r="AD24" s="353"/>
      <c r="AG24" s="273"/>
      <c r="AH24" s="273"/>
    </row>
    <row r="25" spans="2:34" ht="15" customHeight="1" x14ac:dyDescent="0.2">
      <c r="B25" s="91" t="s">
        <v>7</v>
      </c>
      <c r="C25" s="92" t="s">
        <v>20</v>
      </c>
      <c r="D25" s="92" t="s">
        <v>8</v>
      </c>
      <c r="E25" s="92" t="s">
        <v>8</v>
      </c>
      <c r="F25" s="92" t="s">
        <v>14</v>
      </c>
      <c r="G25" s="92" t="s">
        <v>10</v>
      </c>
      <c r="H25" s="92"/>
      <c r="I25" s="92"/>
      <c r="J25" s="196"/>
      <c r="K25" s="91"/>
      <c r="L25" s="93" t="s">
        <v>45</v>
      </c>
      <c r="M25" s="93"/>
      <c r="N25" s="132"/>
      <c r="O25" s="155"/>
      <c r="P25" s="155"/>
      <c r="Q25" s="125">
        <f t="shared" si="0"/>
        <v>103000000</v>
      </c>
      <c r="R25" s="94">
        <f t="shared" si="0"/>
        <v>148000000</v>
      </c>
      <c r="S25" s="92"/>
      <c r="T25" s="95"/>
      <c r="U25" s="244"/>
      <c r="V25" s="300"/>
      <c r="W25" s="330"/>
      <c r="X25" s="94"/>
      <c r="Y25" s="94"/>
      <c r="Z25" s="354"/>
      <c r="AA25" s="354"/>
      <c r="AB25" s="354"/>
      <c r="AC25" s="354"/>
      <c r="AD25" s="354"/>
      <c r="AG25" s="273"/>
      <c r="AH25" s="273"/>
    </row>
    <row r="26" spans="2:34" ht="15" customHeight="1" x14ac:dyDescent="0.2">
      <c r="B26" s="11" t="s">
        <v>7</v>
      </c>
      <c r="C26" s="4" t="s">
        <v>20</v>
      </c>
      <c r="D26" s="4" t="s">
        <v>8</v>
      </c>
      <c r="E26" s="4" t="s">
        <v>8</v>
      </c>
      <c r="F26" s="4" t="s">
        <v>14</v>
      </c>
      <c r="G26" s="4" t="s">
        <v>10</v>
      </c>
      <c r="H26" s="4" t="s">
        <v>23</v>
      </c>
      <c r="I26" s="4"/>
      <c r="J26" s="197"/>
      <c r="K26" s="11"/>
      <c r="L26" s="6" t="s">
        <v>46</v>
      </c>
      <c r="M26" s="6"/>
      <c r="N26" s="133"/>
      <c r="O26" s="156"/>
      <c r="P26" s="156"/>
      <c r="Q26" s="125">
        <f t="shared" si="0"/>
        <v>103000000</v>
      </c>
      <c r="R26" s="5">
        <f t="shared" si="0"/>
        <v>148000000</v>
      </c>
      <c r="S26" s="181"/>
      <c r="T26" s="9"/>
      <c r="U26" s="245"/>
      <c r="V26" s="301"/>
      <c r="W26" s="331"/>
      <c r="X26" s="5"/>
      <c r="Y26" s="5"/>
      <c r="Z26" s="355"/>
      <c r="AA26" s="355"/>
      <c r="AB26" s="355"/>
      <c r="AC26" s="355"/>
      <c r="AD26" s="355"/>
      <c r="AG26" s="273"/>
      <c r="AH26" s="273"/>
    </row>
    <row r="27" spans="2:34" ht="15" customHeight="1" x14ac:dyDescent="0.2">
      <c r="B27" s="11" t="s">
        <v>7</v>
      </c>
      <c r="C27" s="4" t="s">
        <v>20</v>
      </c>
      <c r="D27" s="4" t="s">
        <v>8</v>
      </c>
      <c r="E27" s="4" t="s">
        <v>8</v>
      </c>
      <c r="F27" s="4" t="s">
        <v>14</v>
      </c>
      <c r="G27" s="4" t="s">
        <v>10</v>
      </c>
      <c r="H27" s="4" t="s">
        <v>23</v>
      </c>
      <c r="I27" s="4" t="s">
        <v>21</v>
      </c>
      <c r="J27" s="197"/>
      <c r="K27" s="11"/>
      <c r="L27" s="6" t="s">
        <v>47</v>
      </c>
      <c r="M27" s="6"/>
      <c r="N27" s="133"/>
      <c r="O27" s="156"/>
      <c r="P27" s="156"/>
      <c r="Q27" s="125">
        <f t="shared" si="0"/>
        <v>103000000</v>
      </c>
      <c r="R27" s="5">
        <f t="shared" si="0"/>
        <v>148000000</v>
      </c>
      <c r="S27" s="181"/>
      <c r="T27" s="9"/>
      <c r="U27" s="245"/>
      <c r="V27" s="301"/>
      <c r="W27" s="331"/>
      <c r="X27" s="5"/>
      <c r="Y27" s="5"/>
      <c r="Z27" s="355"/>
      <c r="AA27" s="355"/>
      <c r="AB27" s="355"/>
      <c r="AC27" s="355"/>
      <c r="AD27" s="355"/>
      <c r="AG27" s="273"/>
      <c r="AH27" s="273"/>
    </row>
    <row r="28" spans="2:34" ht="15" customHeight="1" x14ac:dyDescent="0.2">
      <c r="B28" s="11" t="s">
        <v>7</v>
      </c>
      <c r="C28" s="4" t="s">
        <v>20</v>
      </c>
      <c r="D28" s="4" t="s">
        <v>8</v>
      </c>
      <c r="E28" s="4" t="s">
        <v>8</v>
      </c>
      <c r="F28" s="4" t="s">
        <v>14</v>
      </c>
      <c r="G28" s="4" t="s">
        <v>10</v>
      </c>
      <c r="H28" s="4" t="s">
        <v>23</v>
      </c>
      <c r="I28" s="4" t="s">
        <v>21</v>
      </c>
      <c r="J28" s="197" t="s">
        <v>8</v>
      </c>
      <c r="K28" s="11"/>
      <c r="L28" s="6" t="s">
        <v>48</v>
      </c>
      <c r="M28" s="6"/>
      <c r="N28" s="133"/>
      <c r="O28" s="156"/>
      <c r="P28" s="156"/>
      <c r="Q28" s="125">
        <v>103000000</v>
      </c>
      <c r="R28" s="5">
        <f>SUM(R29:R30)</f>
        <v>148000000</v>
      </c>
      <c r="S28" s="181"/>
      <c r="T28" s="9"/>
      <c r="U28" s="245"/>
      <c r="V28" s="301"/>
      <c r="W28" s="331"/>
      <c r="X28" s="5"/>
      <c r="Y28" s="5"/>
      <c r="Z28" s="355"/>
      <c r="AA28" s="355"/>
      <c r="AB28" s="355"/>
      <c r="AC28" s="355"/>
      <c r="AD28" s="355"/>
      <c r="AG28" s="273"/>
      <c r="AH28" s="273"/>
    </row>
    <row r="29" spans="2:34" ht="15" customHeight="1" x14ac:dyDescent="0.2">
      <c r="B29" s="677"/>
      <c r="C29" s="678"/>
      <c r="D29" s="678"/>
      <c r="E29" s="678"/>
      <c r="F29" s="678"/>
      <c r="G29" s="678"/>
      <c r="H29" s="678"/>
      <c r="I29" s="678"/>
      <c r="J29" s="678"/>
      <c r="K29" s="99">
        <v>43231500</v>
      </c>
      <c r="L29" s="100" t="s">
        <v>171</v>
      </c>
      <c r="M29" s="134">
        <v>43845</v>
      </c>
      <c r="N29" s="134">
        <v>43876</v>
      </c>
      <c r="O29" s="157" t="s">
        <v>294</v>
      </c>
      <c r="P29" s="157" t="s">
        <v>318</v>
      </c>
      <c r="Q29" s="125"/>
      <c r="R29" s="101">
        <f>34740131-18000000+13339675</f>
        <v>30079806</v>
      </c>
      <c r="S29" s="182"/>
      <c r="T29" s="102"/>
      <c r="U29" s="253" t="s">
        <v>181</v>
      </c>
      <c r="V29" s="302"/>
      <c r="W29" s="332"/>
      <c r="X29" s="174"/>
      <c r="Y29" s="174"/>
      <c r="Z29" s="352"/>
      <c r="AA29" s="352">
        <f>+R29-Y29</f>
        <v>30079806</v>
      </c>
      <c r="AB29" s="352">
        <f>+Z29-AA29</f>
        <v>-30079806</v>
      </c>
      <c r="AC29" s="352" t="str">
        <f>IF(Z29=0,"0",IF(Z29&gt;0,Y29-Z29,))</f>
        <v>0</v>
      </c>
      <c r="AD29" s="352">
        <f>+R29-Y29+AB29</f>
        <v>0</v>
      </c>
      <c r="AG29" s="273"/>
      <c r="AH29" s="273"/>
    </row>
    <row r="30" spans="2:34" ht="47.1" customHeight="1" x14ac:dyDescent="0.2">
      <c r="B30" s="682"/>
      <c r="C30" s="683"/>
      <c r="D30" s="683"/>
      <c r="E30" s="683"/>
      <c r="F30" s="683"/>
      <c r="G30" s="683"/>
      <c r="H30" s="683"/>
      <c r="I30" s="683"/>
      <c r="J30" s="683"/>
      <c r="K30" s="176" t="s">
        <v>297</v>
      </c>
      <c r="L30" s="110" t="s">
        <v>237</v>
      </c>
      <c r="M30" s="110"/>
      <c r="N30" s="135"/>
      <c r="O30" s="158" t="s">
        <v>296</v>
      </c>
      <c r="P30" s="158"/>
      <c r="Q30" s="125"/>
      <c r="R30" s="111">
        <v>117920194</v>
      </c>
      <c r="S30" s="184"/>
      <c r="T30" s="248"/>
      <c r="U30" s="254" t="s">
        <v>181</v>
      </c>
      <c r="V30" s="302">
        <v>3820</v>
      </c>
      <c r="W30" s="332">
        <v>43844</v>
      </c>
      <c r="X30" s="174">
        <v>117920194</v>
      </c>
      <c r="Y30" s="174">
        <v>117920194</v>
      </c>
      <c r="Z30" s="352">
        <v>117920194</v>
      </c>
      <c r="AA30" s="352">
        <f>+R30-Y30</f>
        <v>0</v>
      </c>
      <c r="AB30" s="352">
        <f>+Z30-AA30</f>
        <v>117920194</v>
      </c>
      <c r="AC30" s="352">
        <f>IF(Z30=0,"0",IF(Z30&gt;0,Y30-Z30,))</f>
        <v>0</v>
      </c>
      <c r="AD30" s="352">
        <f>+R30-Y30+AB30</f>
        <v>117920194</v>
      </c>
      <c r="AG30" s="273"/>
      <c r="AH30" s="273"/>
    </row>
    <row r="31" spans="2:34" s="18" customFormat="1" ht="15.75" customHeight="1" x14ac:dyDescent="0.25">
      <c r="B31" s="26" t="s">
        <v>7</v>
      </c>
      <c r="C31" s="27" t="s">
        <v>20</v>
      </c>
      <c r="D31" s="27" t="s">
        <v>20</v>
      </c>
      <c r="E31" s="27"/>
      <c r="F31" s="27"/>
      <c r="G31" s="27"/>
      <c r="H31" s="27"/>
      <c r="I31" s="27"/>
      <c r="J31" s="193"/>
      <c r="K31" s="26"/>
      <c r="L31" s="28" t="s">
        <v>49</v>
      </c>
      <c r="M31" s="28"/>
      <c r="N31" s="129"/>
      <c r="O31" s="152"/>
      <c r="P31" s="152"/>
      <c r="Q31" s="127">
        <f>+Q32+Q108</f>
        <v>4787000000</v>
      </c>
      <c r="R31" s="29">
        <f>+R32+R108</f>
        <v>4787000000</v>
      </c>
      <c r="S31" s="242"/>
      <c r="T31" s="30"/>
      <c r="U31" s="250"/>
      <c r="V31" s="297"/>
      <c r="W31" s="327"/>
      <c r="X31" s="29"/>
      <c r="Y31" s="29"/>
      <c r="Z31" s="356"/>
      <c r="AA31" s="356"/>
      <c r="AB31" s="356"/>
      <c r="AC31" s="356"/>
      <c r="AD31" s="356"/>
      <c r="AG31" s="273"/>
      <c r="AH31" s="273"/>
    </row>
    <row r="32" spans="2:34" ht="15" customHeight="1" x14ac:dyDescent="0.2">
      <c r="B32" s="41" t="s">
        <v>7</v>
      </c>
      <c r="C32" s="42" t="s">
        <v>20</v>
      </c>
      <c r="D32" s="42" t="s">
        <v>20</v>
      </c>
      <c r="E32" s="42" t="s">
        <v>8</v>
      </c>
      <c r="F32" s="42"/>
      <c r="G32" s="42"/>
      <c r="H32" s="42"/>
      <c r="I32" s="42"/>
      <c r="J32" s="194"/>
      <c r="K32" s="41"/>
      <c r="L32" s="43" t="s">
        <v>50</v>
      </c>
      <c r="M32" s="43"/>
      <c r="N32" s="130"/>
      <c r="O32" s="153"/>
      <c r="P32" s="153"/>
      <c r="Q32" s="125">
        <f>+Q33+Q37+Q52+Q85</f>
        <v>860900000</v>
      </c>
      <c r="R32" s="44">
        <f>+R33+R37+R52+R85</f>
        <v>910247000</v>
      </c>
      <c r="S32" s="42"/>
      <c r="T32" s="45"/>
      <c r="U32" s="251"/>
      <c r="V32" s="298"/>
      <c r="W32" s="328"/>
      <c r="X32" s="44"/>
      <c r="Y32" s="44"/>
      <c r="Z32" s="357"/>
      <c r="AA32" s="357"/>
      <c r="AB32" s="357"/>
      <c r="AC32" s="357"/>
      <c r="AD32" s="357"/>
      <c r="AG32" s="273"/>
      <c r="AH32" s="273"/>
    </row>
    <row r="33" spans="1:34" ht="15" customHeight="1" x14ac:dyDescent="0.2">
      <c r="B33" s="13" t="s">
        <v>7</v>
      </c>
      <c r="C33" s="14" t="s">
        <v>20</v>
      </c>
      <c r="D33" s="14" t="s">
        <v>20</v>
      </c>
      <c r="E33" s="14" t="s">
        <v>8</v>
      </c>
      <c r="F33" s="14" t="s">
        <v>155</v>
      </c>
      <c r="G33" s="14"/>
      <c r="H33" s="14"/>
      <c r="I33" s="14"/>
      <c r="J33" s="195"/>
      <c r="K33" s="13"/>
      <c r="L33" s="15" t="s">
        <v>156</v>
      </c>
      <c r="M33" s="15"/>
      <c r="N33" s="131"/>
      <c r="O33" s="154"/>
      <c r="P33" s="154"/>
      <c r="Q33" s="125">
        <f>+Q34</f>
        <v>10300000</v>
      </c>
      <c r="R33" s="16">
        <f>+R34</f>
        <v>9434673.1600000001</v>
      </c>
      <c r="S33" s="14"/>
      <c r="T33" s="17"/>
      <c r="U33" s="252"/>
      <c r="V33" s="299"/>
      <c r="W33" s="329"/>
      <c r="X33" s="16"/>
      <c r="Y33" s="16"/>
      <c r="Z33" s="353"/>
      <c r="AA33" s="353"/>
      <c r="AB33" s="353"/>
      <c r="AC33" s="353"/>
      <c r="AD33" s="353"/>
      <c r="AG33" s="273"/>
      <c r="AH33" s="273"/>
    </row>
    <row r="34" spans="1:34" ht="15" customHeight="1" x14ac:dyDescent="0.2">
      <c r="B34" s="91" t="s">
        <v>7</v>
      </c>
      <c r="C34" s="92" t="s">
        <v>20</v>
      </c>
      <c r="D34" s="92" t="s">
        <v>20</v>
      </c>
      <c r="E34" s="92" t="s">
        <v>8</v>
      </c>
      <c r="F34" s="92" t="s">
        <v>155</v>
      </c>
      <c r="G34" s="92" t="s">
        <v>9</v>
      </c>
      <c r="H34" s="92"/>
      <c r="I34" s="92"/>
      <c r="J34" s="196"/>
      <c r="K34" s="91"/>
      <c r="L34" s="93" t="s">
        <v>157</v>
      </c>
      <c r="M34" s="93"/>
      <c r="N34" s="132"/>
      <c r="O34" s="155"/>
      <c r="P34" s="155"/>
      <c r="Q34" s="125">
        <f>+Q35</f>
        <v>10300000</v>
      </c>
      <c r="R34" s="94">
        <f>+R35</f>
        <v>9434673.1600000001</v>
      </c>
      <c r="S34" s="92"/>
      <c r="T34" s="95"/>
      <c r="U34" s="244"/>
      <c r="V34" s="300"/>
      <c r="W34" s="330"/>
      <c r="X34" s="94"/>
      <c r="Y34" s="94"/>
      <c r="Z34" s="354"/>
      <c r="AA34" s="354"/>
      <c r="AB34" s="354"/>
      <c r="AC34" s="354"/>
      <c r="AD34" s="354"/>
      <c r="AG34" s="273"/>
      <c r="AH34" s="273"/>
    </row>
    <row r="35" spans="1:34" ht="15" customHeight="1" x14ac:dyDescent="0.2">
      <c r="B35" s="12" t="s">
        <v>7</v>
      </c>
      <c r="C35" s="7" t="s">
        <v>20</v>
      </c>
      <c r="D35" s="7" t="s">
        <v>20</v>
      </c>
      <c r="E35" s="7" t="s">
        <v>8</v>
      </c>
      <c r="F35" s="7" t="s">
        <v>155</v>
      </c>
      <c r="G35" s="7" t="s">
        <v>9</v>
      </c>
      <c r="H35" s="7" t="s">
        <v>28</v>
      </c>
      <c r="I35" s="7"/>
      <c r="J35" s="198"/>
      <c r="K35" s="12"/>
      <c r="L35" s="10" t="s">
        <v>184</v>
      </c>
      <c r="M35" s="10"/>
      <c r="N35" s="136"/>
      <c r="O35" s="159"/>
      <c r="P35" s="159"/>
      <c r="Q35" s="125">
        <v>10300000</v>
      </c>
      <c r="R35" s="8">
        <f>SUM(R36:R36)</f>
        <v>9434673.1600000001</v>
      </c>
      <c r="S35" s="185"/>
      <c r="T35" s="108"/>
      <c r="U35" s="255"/>
      <c r="V35" s="303"/>
      <c r="W35" s="333"/>
      <c r="X35" s="8"/>
      <c r="Y35" s="8"/>
      <c r="Z35" s="358"/>
      <c r="AA35" s="358"/>
      <c r="AB35" s="358"/>
      <c r="AC35" s="358"/>
      <c r="AD35" s="358"/>
      <c r="AG35" s="273"/>
      <c r="AH35" s="273"/>
    </row>
    <row r="36" spans="1:34" ht="30" customHeight="1" x14ac:dyDescent="0.2">
      <c r="B36" s="677"/>
      <c r="C36" s="678"/>
      <c r="D36" s="678"/>
      <c r="E36" s="678"/>
      <c r="F36" s="678"/>
      <c r="G36" s="678"/>
      <c r="H36" s="678"/>
      <c r="I36" s="678"/>
      <c r="J36" s="678"/>
      <c r="K36" s="177">
        <v>50201700</v>
      </c>
      <c r="L36" s="100" t="s">
        <v>372</v>
      </c>
      <c r="M36" s="134">
        <v>43840</v>
      </c>
      <c r="N36" s="134">
        <v>43900</v>
      </c>
      <c r="O36" s="157" t="s">
        <v>326</v>
      </c>
      <c r="P36" s="157" t="s">
        <v>360</v>
      </c>
      <c r="Q36" s="125"/>
      <c r="R36" s="101">
        <f>10300000-865326.84</f>
        <v>9434673.1600000001</v>
      </c>
      <c r="S36" s="182" t="s">
        <v>386</v>
      </c>
      <c r="T36" s="102"/>
      <c r="U36" s="253" t="s">
        <v>194</v>
      </c>
      <c r="V36" s="302">
        <v>3120</v>
      </c>
      <c r="W36" s="332">
        <v>43843</v>
      </c>
      <c r="X36" s="174">
        <v>10300000</v>
      </c>
      <c r="Y36" s="174">
        <v>9434673.1600000001</v>
      </c>
      <c r="Z36" s="352">
        <v>7434673.1500000004</v>
      </c>
      <c r="AA36" s="352">
        <f>+R36-Y36</f>
        <v>0</v>
      </c>
      <c r="AB36" s="352">
        <f>+Z36-AA36</f>
        <v>7434673.1500000004</v>
      </c>
      <c r="AC36" s="352">
        <f>IF(Z36=0,"0",IF(Z36&gt;0,Y36-Z36,))</f>
        <v>2000000.0099999998</v>
      </c>
      <c r="AD36" s="352">
        <f>+R36-Y36+AB36</f>
        <v>7434673.1500000004</v>
      </c>
      <c r="AG36" s="273"/>
      <c r="AH36" s="273"/>
    </row>
    <row r="37" spans="1:34" ht="30" customHeight="1" x14ac:dyDescent="0.2">
      <c r="B37" s="13" t="s">
        <v>7</v>
      </c>
      <c r="C37" s="14" t="s">
        <v>20</v>
      </c>
      <c r="D37" s="14" t="s">
        <v>20</v>
      </c>
      <c r="E37" s="14" t="s">
        <v>8</v>
      </c>
      <c r="F37" s="14" t="s">
        <v>10</v>
      </c>
      <c r="G37" s="14"/>
      <c r="H37" s="14"/>
      <c r="I37" s="14"/>
      <c r="J37" s="195"/>
      <c r="K37" s="13"/>
      <c r="L37" s="15" t="s">
        <v>51</v>
      </c>
      <c r="M37" s="15"/>
      <c r="N37" s="131"/>
      <c r="O37" s="154"/>
      <c r="P37" s="154"/>
      <c r="Q37" s="125">
        <f>+Q38+Q40+Q49+Q45</f>
        <v>203000000</v>
      </c>
      <c r="R37" s="16">
        <f>+R38+R40+R49+R45</f>
        <v>233078188</v>
      </c>
      <c r="S37" s="14"/>
      <c r="T37" s="17"/>
      <c r="U37" s="252"/>
      <c r="V37" s="299"/>
      <c r="W37" s="329"/>
      <c r="X37" s="16"/>
      <c r="Y37" s="16"/>
      <c r="Z37" s="353"/>
      <c r="AA37" s="353"/>
      <c r="AB37" s="353"/>
      <c r="AC37" s="353"/>
      <c r="AD37" s="353"/>
      <c r="AG37" s="273"/>
      <c r="AH37" s="273"/>
    </row>
    <row r="38" spans="1:34" ht="15" customHeight="1" x14ac:dyDescent="0.2">
      <c r="B38" s="91" t="s">
        <v>7</v>
      </c>
      <c r="C38" s="92" t="s">
        <v>20</v>
      </c>
      <c r="D38" s="92" t="s">
        <v>20</v>
      </c>
      <c r="E38" s="92" t="s">
        <v>8</v>
      </c>
      <c r="F38" s="92" t="s">
        <v>10</v>
      </c>
      <c r="G38" s="92" t="s">
        <v>10</v>
      </c>
      <c r="H38" s="92"/>
      <c r="I38" s="92"/>
      <c r="J38" s="196"/>
      <c r="K38" s="91"/>
      <c r="L38" s="93" t="s">
        <v>185</v>
      </c>
      <c r="M38" s="93"/>
      <c r="N38" s="132"/>
      <c r="O38" s="155"/>
      <c r="P38" s="155"/>
      <c r="Q38" s="125">
        <v>700000</v>
      </c>
      <c r="R38" s="94">
        <f>SUM(R39:R39)</f>
        <v>688521</v>
      </c>
      <c r="S38" s="92"/>
      <c r="T38" s="95"/>
      <c r="U38" s="244"/>
      <c r="V38" s="300"/>
      <c r="W38" s="330"/>
      <c r="X38" s="94"/>
      <c r="Y38" s="94"/>
      <c r="Z38" s="354"/>
      <c r="AA38" s="354"/>
      <c r="AB38" s="354"/>
      <c r="AC38" s="354"/>
      <c r="AD38" s="354"/>
      <c r="AG38" s="273"/>
      <c r="AH38" s="273"/>
    </row>
    <row r="39" spans="1:34" ht="30" customHeight="1" x14ac:dyDescent="0.2">
      <c r="A39" s="1" t="s">
        <v>430</v>
      </c>
      <c r="B39" s="677"/>
      <c r="C39" s="678"/>
      <c r="D39" s="678"/>
      <c r="E39" s="678"/>
      <c r="F39" s="678"/>
      <c r="G39" s="678"/>
      <c r="H39" s="678"/>
      <c r="I39" s="678"/>
      <c r="J39" s="678"/>
      <c r="K39" s="99">
        <v>50201700</v>
      </c>
      <c r="L39" s="100" t="s">
        <v>371</v>
      </c>
      <c r="M39" s="134">
        <v>43840</v>
      </c>
      <c r="N39" s="134">
        <v>43900</v>
      </c>
      <c r="O39" s="157" t="s">
        <v>326</v>
      </c>
      <c r="P39" s="157" t="s">
        <v>360</v>
      </c>
      <c r="Q39" s="125"/>
      <c r="R39" s="101">
        <f>700000-11479</f>
        <v>688521</v>
      </c>
      <c r="S39" s="182" t="s">
        <v>386</v>
      </c>
      <c r="T39" s="102"/>
      <c r="U39" s="253" t="s">
        <v>194</v>
      </c>
      <c r="V39" s="302">
        <v>3120</v>
      </c>
      <c r="W39" s="332">
        <v>43843</v>
      </c>
      <c r="X39" s="174">
        <v>700000</v>
      </c>
      <c r="Y39" s="174">
        <v>688521</v>
      </c>
      <c r="Z39" s="352">
        <v>688521</v>
      </c>
      <c r="AA39" s="352">
        <f>+R39-Y39</f>
        <v>0</v>
      </c>
      <c r="AB39" s="352">
        <f>+Z39-AA39</f>
        <v>688521</v>
      </c>
      <c r="AC39" s="352">
        <f>IF(Z39=0,"0",IF(Z39&gt;0,Y39-Z39,))</f>
        <v>0</v>
      </c>
      <c r="AD39" s="352">
        <f>+R39-Y39+AB39</f>
        <v>688521</v>
      </c>
      <c r="AG39" s="273"/>
      <c r="AH39" s="273"/>
    </row>
    <row r="40" spans="1:34" ht="30" customHeight="1" x14ac:dyDescent="0.2">
      <c r="B40" s="91" t="s">
        <v>7</v>
      </c>
      <c r="C40" s="92" t="s">
        <v>20</v>
      </c>
      <c r="D40" s="92" t="s">
        <v>20</v>
      </c>
      <c r="E40" s="92" t="s">
        <v>8</v>
      </c>
      <c r="F40" s="92" t="s">
        <v>10</v>
      </c>
      <c r="G40" s="92" t="s">
        <v>11</v>
      </c>
      <c r="H40" s="92"/>
      <c r="I40" s="92"/>
      <c r="J40" s="196"/>
      <c r="K40" s="91"/>
      <c r="L40" s="93" t="s">
        <v>52</v>
      </c>
      <c r="M40" s="93"/>
      <c r="N40" s="132"/>
      <c r="O40" s="155"/>
      <c r="P40" s="155"/>
      <c r="Q40" s="125">
        <f>+Q41+Q43</f>
        <v>7000000</v>
      </c>
      <c r="R40" s="94">
        <f>+R41+R43</f>
        <v>6772800</v>
      </c>
      <c r="S40" s="92"/>
      <c r="T40" s="95"/>
      <c r="U40" s="244"/>
      <c r="V40" s="300"/>
      <c r="W40" s="330"/>
      <c r="X40" s="94"/>
      <c r="Y40" s="94"/>
      <c r="Z40" s="354"/>
      <c r="AA40" s="354"/>
      <c r="AB40" s="354"/>
      <c r="AC40" s="354"/>
      <c r="AD40" s="354"/>
      <c r="AG40" s="273"/>
      <c r="AH40" s="273"/>
    </row>
    <row r="41" spans="1:34" ht="15" customHeight="1" x14ac:dyDescent="0.2">
      <c r="B41" s="11" t="s">
        <v>7</v>
      </c>
      <c r="C41" s="4" t="s">
        <v>20</v>
      </c>
      <c r="D41" s="4" t="s">
        <v>20</v>
      </c>
      <c r="E41" s="4" t="s">
        <v>8</v>
      </c>
      <c r="F41" s="4" t="s">
        <v>10</v>
      </c>
      <c r="G41" s="4" t="s">
        <v>11</v>
      </c>
      <c r="H41" s="4" t="s">
        <v>27</v>
      </c>
      <c r="I41" s="4"/>
      <c r="J41" s="197"/>
      <c r="K41" s="11"/>
      <c r="L41" s="6" t="s">
        <v>53</v>
      </c>
      <c r="M41" s="6"/>
      <c r="N41" s="133"/>
      <c r="O41" s="156"/>
      <c r="P41" s="156"/>
      <c r="Q41" s="125">
        <v>3000000</v>
      </c>
      <c r="R41" s="5">
        <f>SUM(R42:R42)</f>
        <v>2772800</v>
      </c>
      <c r="S41" s="181"/>
      <c r="T41" s="9"/>
      <c r="U41" s="245"/>
      <c r="V41" s="301"/>
      <c r="W41" s="331"/>
      <c r="X41" s="5"/>
      <c r="Y41" s="5"/>
      <c r="Z41" s="355"/>
      <c r="AA41" s="355"/>
      <c r="AB41" s="355"/>
      <c r="AC41" s="355"/>
      <c r="AD41" s="355"/>
      <c r="AG41" s="273"/>
      <c r="AH41" s="273"/>
    </row>
    <row r="42" spans="1:34" ht="30" customHeight="1" x14ac:dyDescent="0.2">
      <c r="B42" s="677"/>
      <c r="C42" s="678"/>
      <c r="D42" s="678"/>
      <c r="E42" s="678"/>
      <c r="F42" s="678"/>
      <c r="G42" s="678"/>
      <c r="H42" s="678"/>
      <c r="I42" s="678"/>
      <c r="J42" s="678"/>
      <c r="K42" s="177">
        <v>50161500</v>
      </c>
      <c r="L42" s="100" t="s">
        <v>370</v>
      </c>
      <c r="M42" s="134">
        <v>43840</v>
      </c>
      <c r="N42" s="134">
        <v>43900</v>
      </c>
      <c r="O42" s="157" t="s">
        <v>326</v>
      </c>
      <c r="P42" s="157" t="s">
        <v>360</v>
      </c>
      <c r="Q42" s="125"/>
      <c r="R42" s="101">
        <f>3000000-227200</f>
        <v>2772800</v>
      </c>
      <c r="S42" s="182" t="s">
        <v>386</v>
      </c>
      <c r="T42" s="102"/>
      <c r="U42" s="253" t="s">
        <v>194</v>
      </c>
      <c r="V42" s="708">
        <v>3120</v>
      </c>
      <c r="W42" s="673">
        <v>43843</v>
      </c>
      <c r="X42" s="689">
        <v>7000000</v>
      </c>
      <c r="Y42" s="689">
        <v>6772800</v>
      </c>
      <c r="Z42" s="692">
        <v>6772800</v>
      </c>
      <c r="AA42" s="692">
        <f>+R42+R44-Y42</f>
        <v>0</v>
      </c>
      <c r="AB42" s="669">
        <f>+Z42-AA42</f>
        <v>6772800</v>
      </c>
      <c r="AC42" s="669">
        <f>IF(Z42=0,"0",IF(Z42&gt;0,Y42-Z42,))</f>
        <v>0</v>
      </c>
      <c r="AD42" s="669">
        <f>+R42-Y42+AB42</f>
        <v>2772800</v>
      </c>
      <c r="AG42" s="273"/>
      <c r="AH42" s="273"/>
    </row>
    <row r="43" spans="1:34" ht="15" customHeight="1" x14ac:dyDescent="0.2">
      <c r="B43" s="11" t="s">
        <v>7</v>
      </c>
      <c r="C43" s="4" t="s">
        <v>20</v>
      </c>
      <c r="D43" s="4" t="s">
        <v>20</v>
      </c>
      <c r="E43" s="4" t="s">
        <v>8</v>
      </c>
      <c r="F43" s="4" t="s">
        <v>10</v>
      </c>
      <c r="G43" s="4" t="s">
        <v>11</v>
      </c>
      <c r="H43" s="4" t="s">
        <v>30</v>
      </c>
      <c r="I43" s="4"/>
      <c r="J43" s="197"/>
      <c r="K43" s="11"/>
      <c r="L43" s="6" t="s">
        <v>54</v>
      </c>
      <c r="M43" s="6"/>
      <c r="N43" s="133"/>
      <c r="O43" s="156"/>
      <c r="P43" s="156"/>
      <c r="Q43" s="125">
        <v>4000000</v>
      </c>
      <c r="R43" s="5">
        <f>SUM(R44:R44)</f>
        <v>4000000</v>
      </c>
      <c r="S43" s="181"/>
      <c r="T43" s="9"/>
      <c r="U43" s="245"/>
      <c r="V43" s="709"/>
      <c r="W43" s="700"/>
      <c r="X43" s="690"/>
      <c r="Y43" s="690"/>
      <c r="Z43" s="693"/>
      <c r="AA43" s="693"/>
      <c r="AB43" s="695"/>
      <c r="AC43" s="695"/>
      <c r="AD43" s="695"/>
      <c r="AG43" s="273"/>
      <c r="AH43" s="273"/>
    </row>
    <row r="44" spans="1:34" ht="30" customHeight="1" x14ac:dyDescent="0.2">
      <c r="B44" s="677"/>
      <c r="C44" s="678"/>
      <c r="D44" s="678"/>
      <c r="E44" s="678"/>
      <c r="F44" s="678"/>
      <c r="G44" s="678"/>
      <c r="H44" s="678"/>
      <c r="I44" s="678"/>
      <c r="J44" s="678"/>
      <c r="K44" s="99">
        <v>50201700</v>
      </c>
      <c r="L44" s="100" t="s">
        <v>369</v>
      </c>
      <c r="M44" s="134">
        <v>43840</v>
      </c>
      <c r="N44" s="134">
        <v>43900</v>
      </c>
      <c r="O44" s="157" t="s">
        <v>326</v>
      </c>
      <c r="P44" s="157" t="s">
        <v>360</v>
      </c>
      <c r="Q44" s="125"/>
      <c r="R44" s="101">
        <f>4000000</f>
        <v>4000000</v>
      </c>
      <c r="S44" s="182" t="s">
        <v>386</v>
      </c>
      <c r="T44" s="102"/>
      <c r="U44" s="253" t="s">
        <v>194</v>
      </c>
      <c r="V44" s="710"/>
      <c r="W44" s="674"/>
      <c r="X44" s="691"/>
      <c r="Y44" s="691"/>
      <c r="Z44" s="694"/>
      <c r="AA44" s="694"/>
      <c r="AB44" s="670"/>
      <c r="AC44" s="670"/>
      <c r="AD44" s="670"/>
      <c r="AG44" s="273"/>
      <c r="AH44" s="273"/>
    </row>
    <row r="45" spans="1:34" ht="15" customHeight="1" x14ac:dyDescent="0.2">
      <c r="B45" s="91" t="s">
        <v>7</v>
      </c>
      <c r="C45" s="92" t="s">
        <v>20</v>
      </c>
      <c r="D45" s="92" t="s">
        <v>20</v>
      </c>
      <c r="E45" s="92" t="s">
        <v>8</v>
      </c>
      <c r="F45" s="92" t="s">
        <v>10</v>
      </c>
      <c r="G45" s="92" t="s">
        <v>15</v>
      </c>
      <c r="H45" s="92"/>
      <c r="I45" s="92"/>
      <c r="J45" s="196"/>
      <c r="K45" s="91"/>
      <c r="L45" s="93" t="s">
        <v>55</v>
      </c>
      <c r="M45" s="93"/>
      <c r="N45" s="132"/>
      <c r="O45" s="155"/>
      <c r="P45" s="155"/>
      <c r="Q45" s="125">
        <v>48000000</v>
      </c>
      <c r="R45" s="94">
        <f>SUM(R46:R48)</f>
        <v>78366867</v>
      </c>
      <c r="S45" s="186"/>
      <c r="T45" s="95"/>
      <c r="U45" s="244"/>
      <c r="V45" s="300"/>
      <c r="W45" s="330"/>
      <c r="X45" s="94"/>
      <c r="Y45" s="94"/>
      <c r="Z45" s="354"/>
      <c r="AA45" s="354"/>
      <c r="AB45" s="354"/>
      <c r="AC45" s="354"/>
      <c r="AD45" s="354"/>
      <c r="AG45" s="273"/>
      <c r="AH45" s="273"/>
    </row>
    <row r="46" spans="1:34" ht="30" customHeight="1" x14ac:dyDescent="0.2">
      <c r="B46" s="677"/>
      <c r="C46" s="678"/>
      <c r="D46" s="678"/>
      <c r="E46" s="678"/>
      <c r="F46" s="678"/>
      <c r="G46" s="678"/>
      <c r="H46" s="678"/>
      <c r="I46" s="678"/>
      <c r="J46" s="678"/>
      <c r="K46" s="99">
        <v>14121500</v>
      </c>
      <c r="L46" s="178" t="s">
        <v>368</v>
      </c>
      <c r="M46" s="134">
        <v>43840</v>
      </c>
      <c r="N46" s="134">
        <v>43900</v>
      </c>
      <c r="O46" s="157" t="s">
        <v>326</v>
      </c>
      <c r="P46" s="157" t="s">
        <v>360</v>
      </c>
      <c r="Q46" s="125"/>
      <c r="R46" s="101">
        <f>1390000-1023133</f>
        <v>366867</v>
      </c>
      <c r="S46" s="182" t="s">
        <v>386</v>
      </c>
      <c r="T46" s="102"/>
      <c r="U46" s="253" t="s">
        <v>194</v>
      </c>
      <c r="V46" s="302">
        <v>3120</v>
      </c>
      <c r="W46" s="332">
        <v>43843</v>
      </c>
      <c r="X46" s="174">
        <v>1390000</v>
      </c>
      <c r="Y46" s="174">
        <v>366867</v>
      </c>
      <c r="Z46" s="352">
        <v>366867</v>
      </c>
      <c r="AA46" s="352">
        <f>+R46-Y46</f>
        <v>0</v>
      </c>
      <c r="AB46" s="352">
        <f>+Z46-AA46</f>
        <v>366867</v>
      </c>
      <c r="AC46" s="352">
        <f>IF(Z46=0,"0",IF(Z46&gt;0,Y46-Z46,))</f>
        <v>0</v>
      </c>
      <c r="AD46" s="352">
        <f>+R46-Y46+AB46</f>
        <v>366867</v>
      </c>
      <c r="AG46" s="273"/>
      <c r="AH46" s="273"/>
    </row>
    <row r="47" spans="1:34" ht="15" customHeight="1" x14ac:dyDescent="0.2">
      <c r="B47" s="682"/>
      <c r="C47" s="683"/>
      <c r="D47" s="683"/>
      <c r="E47" s="683"/>
      <c r="F47" s="683"/>
      <c r="G47" s="683"/>
      <c r="H47" s="683"/>
      <c r="I47" s="683"/>
      <c r="J47" s="683"/>
      <c r="K47" s="99"/>
      <c r="L47" s="100" t="s">
        <v>277</v>
      </c>
      <c r="M47" s="134">
        <v>43922</v>
      </c>
      <c r="N47" s="134">
        <v>43954</v>
      </c>
      <c r="O47" s="157" t="s">
        <v>307</v>
      </c>
      <c r="P47" s="157"/>
      <c r="Q47" s="125"/>
      <c r="R47" s="101">
        <v>68000000</v>
      </c>
      <c r="S47" s="182" t="s">
        <v>386</v>
      </c>
      <c r="T47" s="102"/>
      <c r="U47" s="253" t="s">
        <v>194</v>
      </c>
      <c r="V47" s="302">
        <v>14620</v>
      </c>
      <c r="W47" s="332">
        <v>43882</v>
      </c>
      <c r="X47" s="174">
        <v>68000000</v>
      </c>
      <c r="Y47" s="174">
        <v>68000000</v>
      </c>
      <c r="Z47" s="352">
        <v>0</v>
      </c>
      <c r="AA47" s="352">
        <f>+R47-Y47</f>
        <v>0</v>
      </c>
      <c r="AB47" s="352">
        <f>+Z47-AA47</f>
        <v>0</v>
      </c>
      <c r="AC47" s="352" t="str">
        <f>IF(Z47=0,"0",IF(Z47&gt;0,Y47-Z47,))</f>
        <v>0</v>
      </c>
      <c r="AD47" s="352">
        <f>+R47-Y47+AB47</f>
        <v>0</v>
      </c>
      <c r="AE47" s="380"/>
      <c r="AG47" s="273"/>
      <c r="AH47" s="273"/>
    </row>
    <row r="48" spans="1:34" ht="15" customHeight="1" x14ac:dyDescent="0.2">
      <c r="B48" s="682"/>
      <c r="C48" s="683"/>
      <c r="D48" s="683"/>
      <c r="E48" s="683"/>
      <c r="F48" s="683"/>
      <c r="G48" s="683"/>
      <c r="H48" s="683"/>
      <c r="I48" s="683"/>
      <c r="J48" s="683"/>
      <c r="K48" s="99"/>
      <c r="L48" s="100" t="s">
        <v>281</v>
      </c>
      <c r="M48" s="134">
        <v>43922</v>
      </c>
      <c r="N48" s="134">
        <v>43952</v>
      </c>
      <c r="O48" s="157" t="s">
        <v>307</v>
      </c>
      <c r="P48" s="157" t="s">
        <v>318</v>
      </c>
      <c r="Q48" s="125"/>
      <c r="R48" s="101">
        <v>10000000</v>
      </c>
      <c r="S48" s="182" t="s">
        <v>386</v>
      </c>
      <c r="T48" s="102"/>
      <c r="U48" s="253" t="s">
        <v>194</v>
      </c>
      <c r="V48" s="302"/>
      <c r="W48" s="332"/>
      <c r="X48" s="174"/>
      <c r="Y48" s="174"/>
      <c r="Z48" s="352"/>
      <c r="AA48" s="352">
        <f>+R48-Y48</f>
        <v>10000000</v>
      </c>
      <c r="AB48" s="352">
        <f>+Z48-AA48</f>
        <v>-10000000</v>
      </c>
      <c r="AC48" s="352" t="str">
        <f>IF(Z48=0,"0",IF(Z48&gt;0,Y48-Z48,))</f>
        <v>0</v>
      </c>
      <c r="AD48" s="352">
        <f>+R48-Y48+AB48</f>
        <v>0</v>
      </c>
      <c r="AG48" s="273"/>
      <c r="AH48" s="273"/>
    </row>
    <row r="49" spans="2:34" ht="15" customHeight="1" x14ac:dyDescent="0.2">
      <c r="B49" s="91" t="s">
        <v>7</v>
      </c>
      <c r="C49" s="92" t="s">
        <v>20</v>
      </c>
      <c r="D49" s="92" t="s">
        <v>20</v>
      </c>
      <c r="E49" s="92" t="s">
        <v>8</v>
      </c>
      <c r="F49" s="92" t="s">
        <v>10</v>
      </c>
      <c r="G49" s="92" t="s">
        <v>16</v>
      </c>
      <c r="H49" s="92"/>
      <c r="I49" s="92"/>
      <c r="J49" s="196"/>
      <c r="K49" s="91"/>
      <c r="L49" s="93" t="s">
        <v>56</v>
      </c>
      <c r="M49" s="93"/>
      <c r="N49" s="132"/>
      <c r="O49" s="155"/>
      <c r="P49" s="155"/>
      <c r="Q49" s="125">
        <f>65000000+73300000+9000000</f>
        <v>147300000</v>
      </c>
      <c r="R49" s="94">
        <f>SUM(R50:R51)</f>
        <v>147250000</v>
      </c>
      <c r="S49" s="92"/>
      <c r="T49" s="95"/>
      <c r="U49" s="244"/>
      <c r="V49" s="300"/>
      <c r="W49" s="330"/>
      <c r="X49" s="94"/>
      <c r="Y49" s="94"/>
      <c r="Z49" s="354"/>
      <c r="AA49" s="354"/>
      <c r="AB49" s="354"/>
      <c r="AC49" s="354"/>
      <c r="AD49" s="354"/>
      <c r="AG49" s="273"/>
      <c r="AH49" s="273"/>
    </row>
    <row r="50" spans="2:34" ht="30" customHeight="1" x14ac:dyDescent="0.2">
      <c r="B50" s="677"/>
      <c r="C50" s="678"/>
      <c r="D50" s="678"/>
      <c r="E50" s="678"/>
      <c r="F50" s="678"/>
      <c r="G50" s="678"/>
      <c r="H50" s="678"/>
      <c r="I50" s="678"/>
      <c r="J50" s="678"/>
      <c r="K50" s="99"/>
      <c r="L50" s="100" t="s">
        <v>183</v>
      </c>
      <c r="M50" s="134">
        <v>43841</v>
      </c>
      <c r="N50" s="134">
        <v>43872</v>
      </c>
      <c r="O50" s="157" t="s">
        <v>307</v>
      </c>
      <c r="P50" s="157" t="s">
        <v>319</v>
      </c>
      <c r="Q50" s="125"/>
      <c r="R50" s="101">
        <v>65000000</v>
      </c>
      <c r="S50" s="182" t="s">
        <v>386</v>
      </c>
      <c r="T50" s="102"/>
      <c r="U50" s="253" t="s">
        <v>194</v>
      </c>
      <c r="V50" s="302">
        <v>6120</v>
      </c>
      <c r="W50" s="332">
        <v>43850</v>
      </c>
      <c r="X50" s="174">
        <v>65000000</v>
      </c>
      <c r="Y50" s="174">
        <v>65000000</v>
      </c>
      <c r="Z50" s="352">
        <v>59972883.68</v>
      </c>
      <c r="AA50" s="352">
        <f>+R50-Y50</f>
        <v>0</v>
      </c>
      <c r="AB50" s="352">
        <f>+Z50-AA50</f>
        <v>59972883.68</v>
      </c>
      <c r="AC50" s="352">
        <f>IF(Z50=0,"0",IF(Z50&gt;0,Y50-Z50,))</f>
        <v>5027116.32</v>
      </c>
      <c r="AD50" s="352">
        <f>+R50-Y50+AB50</f>
        <v>59972883.68</v>
      </c>
      <c r="AG50" s="273"/>
      <c r="AH50" s="273"/>
    </row>
    <row r="51" spans="2:34" ht="15" customHeight="1" x14ac:dyDescent="0.2">
      <c r="B51" s="682"/>
      <c r="C51" s="683"/>
      <c r="D51" s="683"/>
      <c r="E51" s="683"/>
      <c r="F51" s="683"/>
      <c r="G51" s="683"/>
      <c r="H51" s="683"/>
      <c r="I51" s="683"/>
      <c r="J51" s="683"/>
      <c r="K51" s="99"/>
      <c r="L51" s="100" t="s">
        <v>278</v>
      </c>
      <c r="M51" s="134">
        <v>43922</v>
      </c>
      <c r="N51" s="134">
        <v>43954</v>
      </c>
      <c r="O51" s="157" t="s">
        <v>307</v>
      </c>
      <c r="P51" s="157" t="s">
        <v>319</v>
      </c>
      <c r="Q51" s="125"/>
      <c r="R51" s="101">
        <v>82250000</v>
      </c>
      <c r="S51" s="182" t="s">
        <v>386</v>
      </c>
      <c r="T51" s="102"/>
      <c r="U51" s="253" t="s">
        <v>194</v>
      </c>
      <c r="V51" s="302">
        <v>14620</v>
      </c>
      <c r="W51" s="332">
        <v>43882</v>
      </c>
      <c r="X51" s="174">
        <v>82250000</v>
      </c>
      <c r="Y51" s="174">
        <v>82250000</v>
      </c>
      <c r="Z51" s="352">
        <v>0</v>
      </c>
      <c r="AA51" s="352">
        <f>+R51-Y51</f>
        <v>0</v>
      </c>
      <c r="AB51" s="352">
        <f>+Z51-AA51</f>
        <v>0</v>
      </c>
      <c r="AC51" s="352" t="str">
        <f>IF(Z51=0,"0",IF(Z51&gt;0,Y51-Z51,))</f>
        <v>0</v>
      </c>
      <c r="AD51" s="352">
        <f>+R51-Y51+AB51</f>
        <v>0</v>
      </c>
      <c r="AG51" s="273"/>
      <c r="AH51" s="273"/>
    </row>
    <row r="52" spans="2:34" ht="30" customHeight="1" x14ac:dyDescent="0.2">
      <c r="B52" s="13" t="s">
        <v>7</v>
      </c>
      <c r="C52" s="14" t="s">
        <v>20</v>
      </c>
      <c r="D52" s="14" t="s">
        <v>20</v>
      </c>
      <c r="E52" s="14" t="s">
        <v>8</v>
      </c>
      <c r="F52" s="14" t="s">
        <v>11</v>
      </c>
      <c r="G52" s="14"/>
      <c r="H52" s="14"/>
      <c r="I52" s="14"/>
      <c r="J52" s="195"/>
      <c r="K52" s="13"/>
      <c r="L52" s="15" t="s">
        <v>57</v>
      </c>
      <c r="M52" s="15"/>
      <c r="N52" s="131"/>
      <c r="O52" s="154"/>
      <c r="P52" s="154"/>
      <c r="Q52" s="125">
        <f>+Q53+Q60+Q68+Q65+Q73+Q82</f>
        <v>387300000</v>
      </c>
      <c r="R52" s="16">
        <f>+R53+R60+R68+R65+R73+R82</f>
        <v>406777138.84000003</v>
      </c>
      <c r="S52" s="14"/>
      <c r="T52" s="17"/>
      <c r="U52" s="252"/>
      <c r="V52" s="299"/>
      <c r="W52" s="329"/>
      <c r="X52" s="16"/>
      <c r="Y52" s="16"/>
      <c r="Z52" s="353"/>
      <c r="AA52" s="353"/>
      <c r="AB52" s="353"/>
      <c r="AC52" s="353"/>
      <c r="AD52" s="353"/>
      <c r="AG52" s="273"/>
      <c r="AH52" s="273"/>
    </row>
    <row r="53" spans="2:34" ht="30" customHeight="1" x14ac:dyDescent="0.2">
      <c r="B53" s="91" t="s">
        <v>7</v>
      </c>
      <c r="C53" s="92" t="s">
        <v>20</v>
      </c>
      <c r="D53" s="92" t="s">
        <v>20</v>
      </c>
      <c r="E53" s="92" t="s">
        <v>8</v>
      </c>
      <c r="F53" s="92" t="s">
        <v>11</v>
      </c>
      <c r="G53" s="92" t="s">
        <v>10</v>
      </c>
      <c r="H53" s="92"/>
      <c r="I53" s="92"/>
      <c r="J53" s="196"/>
      <c r="K53" s="91"/>
      <c r="L53" s="93" t="s">
        <v>58</v>
      </c>
      <c r="M53" s="93"/>
      <c r="N53" s="132"/>
      <c r="O53" s="155"/>
      <c r="P53" s="155"/>
      <c r="Q53" s="125">
        <f>+Q54+Q57</f>
        <v>92500000</v>
      </c>
      <c r="R53" s="94">
        <f>+R54+R57</f>
        <v>101073045.11</v>
      </c>
      <c r="S53" s="92"/>
      <c r="T53" s="95"/>
      <c r="U53" s="244"/>
      <c r="V53" s="300"/>
      <c r="W53" s="330"/>
      <c r="X53" s="94"/>
      <c r="Y53" s="94"/>
      <c r="Z53" s="354"/>
      <c r="AA53" s="354"/>
      <c r="AB53" s="354"/>
      <c r="AC53" s="354"/>
      <c r="AD53" s="354"/>
      <c r="AG53" s="273"/>
      <c r="AH53" s="273"/>
    </row>
    <row r="54" spans="2:34" ht="15" customHeight="1" x14ac:dyDescent="0.2">
      <c r="B54" s="11" t="s">
        <v>7</v>
      </c>
      <c r="C54" s="4" t="s">
        <v>20</v>
      </c>
      <c r="D54" s="4" t="s">
        <v>20</v>
      </c>
      <c r="E54" s="4" t="s">
        <v>8</v>
      </c>
      <c r="F54" s="4" t="s">
        <v>11</v>
      </c>
      <c r="G54" s="4" t="s">
        <v>10</v>
      </c>
      <c r="H54" s="4" t="s">
        <v>8</v>
      </c>
      <c r="I54" s="4"/>
      <c r="J54" s="197"/>
      <c r="K54" s="11"/>
      <c r="L54" s="6" t="s">
        <v>59</v>
      </c>
      <c r="M54" s="6"/>
      <c r="N54" s="133"/>
      <c r="O54" s="156"/>
      <c r="P54" s="156"/>
      <c r="Q54" s="125">
        <v>85000000</v>
      </c>
      <c r="R54" s="5">
        <f>SUM(R55:R56)</f>
        <v>89773045.109999999</v>
      </c>
      <c r="S54" s="181"/>
      <c r="T54" s="9"/>
      <c r="U54" s="245"/>
      <c r="V54" s="301"/>
      <c r="W54" s="331"/>
      <c r="X54" s="5"/>
      <c r="Y54" s="5"/>
      <c r="Z54" s="355"/>
      <c r="AA54" s="355"/>
      <c r="AB54" s="355"/>
      <c r="AC54" s="355"/>
      <c r="AD54" s="355"/>
      <c r="AG54" s="273"/>
      <c r="AH54" s="273"/>
    </row>
    <row r="55" spans="2:34" ht="135" customHeight="1" x14ac:dyDescent="0.2">
      <c r="B55" s="677"/>
      <c r="C55" s="678"/>
      <c r="D55" s="678"/>
      <c r="E55" s="678"/>
      <c r="F55" s="678"/>
      <c r="G55" s="678"/>
      <c r="H55" s="678"/>
      <c r="I55" s="678"/>
      <c r="J55" s="678"/>
      <c r="K55" s="177" t="s">
        <v>312</v>
      </c>
      <c r="L55" s="178" t="s">
        <v>218</v>
      </c>
      <c r="M55" s="134">
        <v>43862</v>
      </c>
      <c r="N55" s="134">
        <v>43891</v>
      </c>
      <c r="O55" s="157" t="s">
        <v>362</v>
      </c>
      <c r="P55" s="157" t="s">
        <v>401</v>
      </c>
      <c r="Q55" s="125"/>
      <c r="R55" s="101">
        <v>80000000</v>
      </c>
      <c r="S55" s="182" t="s">
        <v>386</v>
      </c>
      <c r="T55" s="102"/>
      <c r="U55" s="253" t="s">
        <v>222</v>
      </c>
      <c r="V55" s="302">
        <v>10920</v>
      </c>
      <c r="W55" s="332">
        <v>43865</v>
      </c>
      <c r="X55" s="174">
        <v>80000000</v>
      </c>
      <c r="Y55" s="174">
        <v>80000000</v>
      </c>
      <c r="Z55" s="352">
        <v>0</v>
      </c>
      <c r="AA55" s="352">
        <f>+R55-Y55</f>
        <v>0</v>
      </c>
      <c r="AB55" s="352">
        <f>+Z55-AA55</f>
        <v>0</v>
      </c>
      <c r="AC55" s="352" t="str">
        <f>IF(Z55=0,"0",IF(Z55&gt;0,Y55-Z55,))</f>
        <v>0</v>
      </c>
      <c r="AD55" s="352">
        <f>+R55-Y55+AB55</f>
        <v>0</v>
      </c>
      <c r="AG55" s="273"/>
      <c r="AH55" s="273"/>
    </row>
    <row r="56" spans="2:34" ht="45" customHeight="1" x14ac:dyDescent="0.2">
      <c r="B56" s="682"/>
      <c r="C56" s="683"/>
      <c r="D56" s="683"/>
      <c r="E56" s="683"/>
      <c r="F56" s="683"/>
      <c r="G56" s="683"/>
      <c r="H56" s="683"/>
      <c r="I56" s="683"/>
      <c r="J56" s="683"/>
      <c r="K56" s="177" t="s">
        <v>361</v>
      </c>
      <c r="L56" s="178" t="s">
        <v>367</v>
      </c>
      <c r="M56" s="134">
        <v>43840</v>
      </c>
      <c r="N56" s="134">
        <v>43900</v>
      </c>
      <c r="O56" s="157" t="s">
        <v>326</v>
      </c>
      <c r="P56" s="157" t="s">
        <v>360</v>
      </c>
      <c r="Q56" s="125"/>
      <c r="R56" s="101">
        <f>11070000-1296954.89</f>
        <v>9773045.1099999994</v>
      </c>
      <c r="S56" s="182" t="s">
        <v>386</v>
      </c>
      <c r="T56" s="102"/>
      <c r="U56" s="253" t="s">
        <v>194</v>
      </c>
      <c r="V56" s="302">
        <v>3120</v>
      </c>
      <c r="W56" s="332">
        <v>43843</v>
      </c>
      <c r="X56" s="174">
        <v>11070000</v>
      </c>
      <c r="Y56" s="174">
        <v>9773045.1099999994</v>
      </c>
      <c r="Z56" s="352">
        <v>7273045</v>
      </c>
      <c r="AA56" s="352">
        <f>+R56-Y56</f>
        <v>0</v>
      </c>
      <c r="AB56" s="352">
        <f>+Z56-AA56</f>
        <v>7273045</v>
      </c>
      <c r="AC56" s="352">
        <f>IF(Z56=0,"0",IF(Z56&gt;0,Y56-Z56,))</f>
        <v>2500000.1099999994</v>
      </c>
      <c r="AD56" s="352">
        <f>+R56-Y56+AB56</f>
        <v>7273045</v>
      </c>
      <c r="AG56" s="273"/>
      <c r="AH56" s="273"/>
    </row>
    <row r="57" spans="2:34" ht="30" customHeight="1" x14ac:dyDescent="0.2">
      <c r="B57" s="11" t="s">
        <v>7</v>
      </c>
      <c r="C57" s="4" t="s">
        <v>20</v>
      </c>
      <c r="D57" s="4" t="s">
        <v>20</v>
      </c>
      <c r="E57" s="4" t="s">
        <v>8</v>
      </c>
      <c r="F57" s="4" t="s">
        <v>11</v>
      </c>
      <c r="G57" s="4" t="s">
        <v>10</v>
      </c>
      <c r="H57" s="4" t="s">
        <v>24</v>
      </c>
      <c r="I57" s="4"/>
      <c r="J57" s="197"/>
      <c r="K57" s="11"/>
      <c r="L57" s="6" t="s">
        <v>138</v>
      </c>
      <c r="M57" s="6"/>
      <c r="N57" s="133"/>
      <c r="O57" s="156"/>
      <c r="P57" s="156"/>
      <c r="Q57" s="125">
        <v>7500000</v>
      </c>
      <c r="R57" s="5">
        <f>SUM(R58:R59)</f>
        <v>11300000</v>
      </c>
      <c r="S57" s="181"/>
      <c r="T57" s="9"/>
      <c r="U57" s="245"/>
      <c r="V57" s="301"/>
      <c r="W57" s="331"/>
      <c r="X57" s="5"/>
      <c r="Y57" s="5"/>
      <c r="Z57" s="355"/>
      <c r="AA57" s="355"/>
      <c r="AB57" s="355"/>
      <c r="AC57" s="355"/>
      <c r="AD57" s="355"/>
      <c r="AG57" s="273"/>
      <c r="AH57" s="273"/>
    </row>
    <row r="58" spans="2:34" ht="15" customHeight="1" x14ac:dyDescent="0.2">
      <c r="B58" s="677"/>
      <c r="C58" s="678"/>
      <c r="D58" s="678"/>
      <c r="E58" s="678"/>
      <c r="F58" s="678"/>
      <c r="G58" s="678"/>
      <c r="H58" s="678"/>
      <c r="I58" s="678"/>
      <c r="J58" s="678"/>
      <c r="K58" s="99"/>
      <c r="L58" s="100" t="s">
        <v>239</v>
      </c>
      <c r="M58" s="134">
        <v>43893</v>
      </c>
      <c r="N58" s="134">
        <v>43924</v>
      </c>
      <c r="O58" s="157" t="s">
        <v>296</v>
      </c>
      <c r="P58" s="157" t="s">
        <v>318</v>
      </c>
      <c r="Q58" s="125"/>
      <c r="R58" s="101">
        <v>6000000</v>
      </c>
      <c r="S58" s="182" t="s">
        <v>386</v>
      </c>
      <c r="T58" s="102"/>
      <c r="U58" s="253" t="s">
        <v>253</v>
      </c>
      <c r="V58" s="302"/>
      <c r="W58" s="332"/>
      <c r="X58" s="174"/>
      <c r="Y58" s="174"/>
      <c r="Z58" s="352"/>
      <c r="AA58" s="352">
        <f>+R58-Y58</f>
        <v>6000000</v>
      </c>
      <c r="AB58" s="352">
        <f>+Z58-AA58</f>
        <v>-6000000</v>
      </c>
      <c r="AC58" s="352" t="str">
        <f>IF(Z58=0,"0",IF(Z58&gt;0,Y58-Z58,))</f>
        <v>0</v>
      </c>
      <c r="AD58" s="352">
        <f>+R58-Y58+AB58</f>
        <v>0</v>
      </c>
      <c r="AG58" s="273"/>
      <c r="AH58" s="273"/>
    </row>
    <row r="59" spans="2:34" ht="75" customHeight="1" x14ac:dyDescent="0.2">
      <c r="B59" s="682"/>
      <c r="C59" s="683"/>
      <c r="D59" s="683"/>
      <c r="E59" s="683"/>
      <c r="F59" s="683"/>
      <c r="G59" s="683"/>
      <c r="H59" s="683"/>
      <c r="I59" s="683"/>
      <c r="J59" s="683"/>
      <c r="K59" s="113"/>
      <c r="L59" s="114" t="s">
        <v>240</v>
      </c>
      <c r="M59" s="114"/>
      <c r="N59" s="137"/>
      <c r="O59" s="160"/>
      <c r="P59" s="160"/>
      <c r="Q59" s="125"/>
      <c r="R59" s="115">
        <v>5300000</v>
      </c>
      <c r="S59" s="187"/>
      <c r="T59" s="116"/>
      <c r="U59" s="256"/>
      <c r="V59" s="302" t="s">
        <v>432</v>
      </c>
      <c r="W59" s="332" t="s">
        <v>433</v>
      </c>
      <c r="X59" s="174">
        <f>800000+800000+14317+137250+4779</f>
        <v>1756346</v>
      </c>
      <c r="Y59" s="174">
        <v>800000</v>
      </c>
      <c r="Z59" s="352">
        <v>0</v>
      </c>
      <c r="AA59" s="352">
        <f>+R59-Y59</f>
        <v>4500000</v>
      </c>
      <c r="AB59" s="352">
        <f>+Z59-AA59</f>
        <v>-4500000</v>
      </c>
      <c r="AC59" s="352" t="str">
        <f>IF(Z59=0,"0",IF(Z59&gt;0,Y59-Z59,))</f>
        <v>0</v>
      </c>
      <c r="AD59" s="352">
        <f>+R59-Y59+AB59</f>
        <v>0</v>
      </c>
      <c r="AG59" s="273"/>
      <c r="AH59" s="273"/>
    </row>
    <row r="60" spans="2:34" ht="30" customHeight="1" x14ac:dyDescent="0.2">
      <c r="B60" s="91" t="s">
        <v>7</v>
      </c>
      <c r="C60" s="92" t="s">
        <v>20</v>
      </c>
      <c r="D60" s="92" t="s">
        <v>20</v>
      </c>
      <c r="E60" s="92" t="s">
        <v>8</v>
      </c>
      <c r="F60" s="92" t="s">
        <v>11</v>
      </c>
      <c r="G60" s="92" t="s">
        <v>11</v>
      </c>
      <c r="H60" s="92"/>
      <c r="I60" s="92"/>
      <c r="J60" s="196"/>
      <c r="K60" s="91"/>
      <c r="L60" s="93" t="s">
        <v>60</v>
      </c>
      <c r="M60" s="93"/>
      <c r="N60" s="132"/>
      <c r="O60" s="155"/>
      <c r="P60" s="155"/>
      <c r="Q60" s="125">
        <f>+Q61+Q63</f>
        <v>99000000</v>
      </c>
      <c r="R60" s="94">
        <f>+R61+R63</f>
        <v>99000000</v>
      </c>
      <c r="S60" s="92"/>
      <c r="T60" s="95"/>
      <c r="U60" s="244"/>
      <c r="V60" s="300"/>
      <c r="W60" s="330"/>
      <c r="X60" s="94"/>
      <c r="Y60" s="94"/>
      <c r="Z60" s="354"/>
      <c r="AA60" s="354"/>
      <c r="AB60" s="354"/>
      <c r="AC60" s="354"/>
      <c r="AD60" s="354"/>
      <c r="AG60" s="273"/>
      <c r="AH60" s="273"/>
    </row>
    <row r="61" spans="2:34" ht="60" customHeight="1" x14ac:dyDescent="0.2">
      <c r="B61" s="11" t="s">
        <v>7</v>
      </c>
      <c r="C61" s="4" t="s">
        <v>20</v>
      </c>
      <c r="D61" s="4" t="s">
        <v>20</v>
      </c>
      <c r="E61" s="4" t="s">
        <v>8</v>
      </c>
      <c r="F61" s="4" t="s">
        <v>11</v>
      </c>
      <c r="G61" s="4" t="s">
        <v>11</v>
      </c>
      <c r="H61" s="4" t="s">
        <v>23</v>
      </c>
      <c r="I61" s="4"/>
      <c r="J61" s="197"/>
      <c r="K61" s="11"/>
      <c r="L61" s="6" t="s">
        <v>241</v>
      </c>
      <c r="M61" s="6"/>
      <c r="N61" s="133"/>
      <c r="O61" s="156"/>
      <c r="P61" s="156"/>
      <c r="Q61" s="125">
        <v>10000000</v>
      </c>
      <c r="R61" s="5">
        <f>SUM(R62:R62)</f>
        <v>10000000</v>
      </c>
      <c r="S61" s="181"/>
      <c r="T61" s="9"/>
      <c r="U61" s="245"/>
      <c r="V61" s="301"/>
      <c r="W61" s="331"/>
      <c r="X61" s="5"/>
      <c r="Y61" s="5"/>
      <c r="Z61" s="355"/>
      <c r="AA61" s="355"/>
      <c r="AB61" s="355"/>
      <c r="AC61" s="355"/>
      <c r="AD61" s="355"/>
      <c r="AG61" s="273"/>
      <c r="AH61" s="273"/>
    </row>
    <row r="62" spans="2:34" ht="15" customHeight="1" x14ac:dyDescent="0.2">
      <c r="B62" s="677"/>
      <c r="C62" s="678"/>
      <c r="D62" s="678"/>
      <c r="E62" s="678"/>
      <c r="F62" s="678"/>
      <c r="G62" s="678"/>
      <c r="H62" s="678"/>
      <c r="I62" s="678"/>
      <c r="J62" s="678"/>
      <c r="K62" s="99">
        <v>15121500</v>
      </c>
      <c r="L62" s="100" t="s">
        <v>242</v>
      </c>
      <c r="M62" s="134">
        <v>43840</v>
      </c>
      <c r="N62" s="134">
        <v>43860</v>
      </c>
      <c r="O62" s="157" t="s">
        <v>326</v>
      </c>
      <c r="P62" s="157" t="s">
        <v>318</v>
      </c>
      <c r="Q62" s="125"/>
      <c r="R62" s="101">
        <v>10000000</v>
      </c>
      <c r="S62" s="182" t="s">
        <v>386</v>
      </c>
      <c r="T62" s="102"/>
      <c r="U62" s="253" t="s">
        <v>267</v>
      </c>
      <c r="V62" s="302">
        <v>2520</v>
      </c>
      <c r="W62" s="332">
        <v>43839</v>
      </c>
      <c r="X62" s="174">
        <v>10000000</v>
      </c>
      <c r="Y62" s="174">
        <v>10000000</v>
      </c>
      <c r="Z62" s="352">
        <v>10000000</v>
      </c>
      <c r="AA62" s="352">
        <f>+R62-Y62</f>
        <v>0</v>
      </c>
      <c r="AB62" s="352">
        <f>+Z62-AA62</f>
        <v>10000000</v>
      </c>
      <c r="AC62" s="352">
        <f>IF(Z62=0,"0",IF(Z62&gt;0,Y62-Z62,))</f>
        <v>0</v>
      </c>
      <c r="AD62" s="352">
        <f>+R62-Y62+AB62</f>
        <v>10000000</v>
      </c>
      <c r="AG62" s="273"/>
      <c r="AH62" s="273"/>
    </row>
    <row r="63" spans="2:34" ht="30" customHeight="1" x14ac:dyDescent="0.2">
      <c r="B63" s="11" t="s">
        <v>7</v>
      </c>
      <c r="C63" s="4" t="s">
        <v>20</v>
      </c>
      <c r="D63" s="4" t="s">
        <v>20</v>
      </c>
      <c r="E63" s="4" t="s">
        <v>8</v>
      </c>
      <c r="F63" s="4" t="s">
        <v>11</v>
      </c>
      <c r="G63" s="4" t="s">
        <v>11</v>
      </c>
      <c r="H63" s="4" t="s">
        <v>24</v>
      </c>
      <c r="I63" s="4"/>
      <c r="J63" s="197"/>
      <c r="K63" s="11"/>
      <c r="L63" s="6" t="s">
        <v>61</v>
      </c>
      <c r="M63" s="6"/>
      <c r="N63" s="133"/>
      <c r="O63" s="156"/>
      <c r="P63" s="156"/>
      <c r="Q63" s="125">
        <v>89000000</v>
      </c>
      <c r="R63" s="5">
        <f>SUM(R64:R64)</f>
        <v>89000000</v>
      </c>
      <c r="S63" s="181"/>
      <c r="T63" s="9"/>
      <c r="U63" s="245"/>
      <c r="V63" s="301"/>
      <c r="W63" s="331"/>
      <c r="X63" s="5"/>
      <c r="Y63" s="5"/>
      <c r="Z63" s="355"/>
      <c r="AA63" s="355"/>
      <c r="AB63" s="355"/>
      <c r="AC63" s="355"/>
      <c r="AD63" s="355"/>
      <c r="AG63" s="273"/>
      <c r="AH63" s="273"/>
    </row>
    <row r="64" spans="2:34" ht="15" customHeight="1" x14ac:dyDescent="0.2">
      <c r="B64" s="677"/>
      <c r="C64" s="678"/>
      <c r="D64" s="678"/>
      <c r="E64" s="678"/>
      <c r="F64" s="678"/>
      <c r="G64" s="678"/>
      <c r="H64" s="678"/>
      <c r="I64" s="678"/>
      <c r="J64" s="678"/>
      <c r="K64" s="99">
        <v>15101500</v>
      </c>
      <c r="L64" s="100" t="s">
        <v>238</v>
      </c>
      <c r="M64" s="134">
        <v>43881</v>
      </c>
      <c r="N64" s="134">
        <v>43890</v>
      </c>
      <c r="O64" s="157" t="s">
        <v>301</v>
      </c>
      <c r="P64" s="157" t="s">
        <v>382</v>
      </c>
      <c r="Q64" s="125"/>
      <c r="R64" s="101">
        <v>89000000</v>
      </c>
      <c r="S64" s="182" t="s">
        <v>386</v>
      </c>
      <c r="T64" s="102"/>
      <c r="U64" s="253" t="s">
        <v>267</v>
      </c>
      <c r="V64" s="302">
        <v>2420</v>
      </c>
      <c r="W64" s="332">
        <v>43839</v>
      </c>
      <c r="X64" s="174">
        <v>89000000</v>
      </c>
      <c r="Y64" s="174">
        <v>89000000</v>
      </c>
      <c r="Z64" s="352">
        <v>89000000</v>
      </c>
      <c r="AA64" s="352">
        <f>+R64-Y64</f>
        <v>0</v>
      </c>
      <c r="AB64" s="352">
        <f>+Z64-AA64</f>
        <v>89000000</v>
      </c>
      <c r="AC64" s="352">
        <f>IF(Z64=0,"0",IF(Z64&gt;0,Y64-Z64,))</f>
        <v>0</v>
      </c>
      <c r="AD64" s="352">
        <f>+R64-Y64+AB64</f>
        <v>89000000</v>
      </c>
      <c r="AG64" s="273"/>
      <c r="AH64" s="273"/>
    </row>
    <row r="65" spans="2:34" ht="15" customHeight="1" x14ac:dyDescent="0.2">
      <c r="B65" s="91" t="s">
        <v>7</v>
      </c>
      <c r="C65" s="92" t="s">
        <v>20</v>
      </c>
      <c r="D65" s="92" t="s">
        <v>20</v>
      </c>
      <c r="E65" s="92" t="s">
        <v>8</v>
      </c>
      <c r="F65" s="92" t="s">
        <v>11</v>
      </c>
      <c r="G65" s="92" t="s">
        <v>12</v>
      </c>
      <c r="H65" s="92"/>
      <c r="I65" s="92"/>
      <c r="J65" s="196"/>
      <c r="K65" s="91"/>
      <c r="L65" s="93" t="s">
        <v>62</v>
      </c>
      <c r="M65" s="93"/>
      <c r="N65" s="132"/>
      <c r="O65" s="155"/>
      <c r="P65" s="155"/>
      <c r="Q65" s="125">
        <f>+Q66</f>
        <v>3000000</v>
      </c>
      <c r="R65" s="94">
        <f>+R66</f>
        <v>1097051.1200000001</v>
      </c>
      <c r="S65" s="92"/>
      <c r="T65" s="95"/>
      <c r="U65" s="244"/>
      <c r="V65" s="300"/>
      <c r="W65" s="330"/>
      <c r="X65" s="94"/>
      <c r="Y65" s="94"/>
      <c r="Z65" s="354"/>
      <c r="AA65" s="354"/>
      <c r="AB65" s="354"/>
      <c r="AC65" s="354"/>
      <c r="AD65" s="354"/>
      <c r="AG65" s="273"/>
      <c r="AH65" s="273"/>
    </row>
    <row r="66" spans="2:34" ht="15" customHeight="1" x14ac:dyDescent="0.2">
      <c r="B66" s="11" t="s">
        <v>7</v>
      </c>
      <c r="C66" s="4" t="s">
        <v>20</v>
      </c>
      <c r="D66" s="4" t="s">
        <v>20</v>
      </c>
      <c r="E66" s="4" t="s">
        <v>8</v>
      </c>
      <c r="F66" s="4" t="s">
        <v>11</v>
      </c>
      <c r="G66" s="4" t="s">
        <v>12</v>
      </c>
      <c r="H66" s="4" t="s">
        <v>28</v>
      </c>
      <c r="I66" s="4"/>
      <c r="J66" s="197"/>
      <c r="K66" s="11"/>
      <c r="L66" s="6" t="s">
        <v>63</v>
      </c>
      <c r="M66" s="6"/>
      <c r="N66" s="133"/>
      <c r="O66" s="156"/>
      <c r="P66" s="156"/>
      <c r="Q66" s="125">
        <v>3000000</v>
      </c>
      <c r="R66" s="5">
        <f>SUM(R67:R67)</f>
        <v>1097051.1200000001</v>
      </c>
      <c r="S66" s="181"/>
      <c r="T66" s="9"/>
      <c r="U66" s="245"/>
      <c r="V66" s="301"/>
      <c r="W66" s="331"/>
      <c r="X66" s="5"/>
      <c r="Y66" s="5"/>
      <c r="Z66" s="355"/>
      <c r="AA66" s="355"/>
      <c r="AB66" s="355"/>
      <c r="AC66" s="355"/>
      <c r="AD66" s="355"/>
      <c r="AG66" s="273"/>
      <c r="AH66" s="273"/>
    </row>
    <row r="67" spans="2:34" ht="105" customHeight="1" x14ac:dyDescent="0.2">
      <c r="B67" s="677"/>
      <c r="C67" s="678"/>
      <c r="D67" s="678"/>
      <c r="E67" s="678"/>
      <c r="F67" s="678"/>
      <c r="G67" s="678"/>
      <c r="H67" s="678"/>
      <c r="I67" s="678"/>
      <c r="J67" s="678"/>
      <c r="K67" s="177" t="s">
        <v>363</v>
      </c>
      <c r="L67" s="178" t="s">
        <v>366</v>
      </c>
      <c r="M67" s="134">
        <v>43840</v>
      </c>
      <c r="N67" s="134">
        <v>43900</v>
      </c>
      <c r="O67" s="157" t="s">
        <v>326</v>
      </c>
      <c r="P67" s="157" t="s">
        <v>360</v>
      </c>
      <c r="Q67" s="125"/>
      <c r="R67" s="390">
        <f>2790000-1692948.88</f>
        <v>1097051.1200000001</v>
      </c>
      <c r="S67" s="182" t="s">
        <v>386</v>
      </c>
      <c r="T67" s="102"/>
      <c r="U67" s="253" t="s">
        <v>194</v>
      </c>
      <c r="V67" s="302">
        <v>3120</v>
      </c>
      <c r="W67" s="332">
        <v>43843</v>
      </c>
      <c r="X67" s="174">
        <v>2790000</v>
      </c>
      <c r="Y67" s="174">
        <v>1097051.1200000001</v>
      </c>
      <c r="Z67" s="352">
        <v>875752</v>
      </c>
      <c r="AA67" s="352">
        <f>+R67-Y67</f>
        <v>0</v>
      </c>
      <c r="AB67" s="352">
        <f>+Z67-AA67</f>
        <v>875752</v>
      </c>
      <c r="AC67" s="352">
        <f>IF(Z67=0,"0",IF(Z67&gt;0,Y67-Z67,))</f>
        <v>221299.12000000011</v>
      </c>
      <c r="AD67" s="352">
        <f>+R67-Y67+AB67</f>
        <v>875752</v>
      </c>
      <c r="AG67" s="273"/>
      <c r="AH67" s="273"/>
    </row>
    <row r="68" spans="2:34" ht="30" customHeight="1" x14ac:dyDescent="0.2">
      <c r="B68" s="91" t="s">
        <v>7</v>
      </c>
      <c r="C68" s="92" t="s">
        <v>20</v>
      </c>
      <c r="D68" s="92" t="s">
        <v>20</v>
      </c>
      <c r="E68" s="92" t="s">
        <v>8</v>
      </c>
      <c r="F68" s="92" t="s">
        <v>11</v>
      </c>
      <c r="G68" s="92" t="s">
        <v>13</v>
      </c>
      <c r="H68" s="92"/>
      <c r="I68" s="92"/>
      <c r="J68" s="196"/>
      <c r="K68" s="91"/>
      <c r="L68" s="93" t="s">
        <v>64</v>
      </c>
      <c r="M68" s="93"/>
      <c r="N68" s="132"/>
      <c r="O68" s="155"/>
      <c r="P68" s="155"/>
      <c r="Q68" s="125">
        <f>+Q69+Q71</f>
        <v>43500000</v>
      </c>
      <c r="R68" s="94">
        <f>+R69+R71</f>
        <v>63684658.609999999</v>
      </c>
      <c r="S68" s="92"/>
      <c r="T68" s="95"/>
      <c r="U68" s="244"/>
      <c r="V68" s="300"/>
      <c r="W68" s="330"/>
      <c r="X68" s="94"/>
      <c r="Y68" s="94"/>
      <c r="Z68" s="354"/>
      <c r="AA68" s="354"/>
      <c r="AB68" s="354"/>
      <c r="AC68" s="354"/>
      <c r="AD68" s="354"/>
      <c r="AG68" s="273"/>
      <c r="AH68" s="273"/>
    </row>
    <row r="69" spans="2:34" ht="15" customHeight="1" x14ac:dyDescent="0.2">
      <c r="B69" s="11" t="s">
        <v>7</v>
      </c>
      <c r="C69" s="4" t="s">
        <v>20</v>
      </c>
      <c r="D69" s="4" t="s">
        <v>20</v>
      </c>
      <c r="E69" s="4" t="s">
        <v>8</v>
      </c>
      <c r="F69" s="4" t="s">
        <v>11</v>
      </c>
      <c r="G69" s="4" t="s">
        <v>13</v>
      </c>
      <c r="H69" s="4" t="s">
        <v>20</v>
      </c>
      <c r="I69" s="4"/>
      <c r="J69" s="197"/>
      <c r="K69" s="11"/>
      <c r="L69" s="6" t="s">
        <v>140</v>
      </c>
      <c r="M69" s="6"/>
      <c r="N69" s="133"/>
      <c r="O69" s="156"/>
      <c r="P69" s="156"/>
      <c r="Q69" s="125">
        <v>16500000</v>
      </c>
      <c r="R69" s="5">
        <f>SUM(R70:R70)</f>
        <v>48500000</v>
      </c>
      <c r="S69" s="181"/>
      <c r="T69" s="9"/>
      <c r="U69" s="245"/>
      <c r="V69" s="301"/>
      <c r="W69" s="331"/>
      <c r="X69" s="5"/>
      <c r="Y69" s="5"/>
      <c r="Z69" s="355"/>
      <c r="AA69" s="355"/>
      <c r="AB69" s="355"/>
      <c r="AC69" s="355"/>
      <c r="AD69" s="355"/>
      <c r="AG69" s="273"/>
      <c r="AH69" s="273"/>
    </row>
    <row r="70" spans="2:34" ht="15" customHeight="1" x14ac:dyDescent="0.2">
      <c r="B70" s="677"/>
      <c r="C70" s="678"/>
      <c r="D70" s="678"/>
      <c r="E70" s="678"/>
      <c r="F70" s="678"/>
      <c r="G70" s="678"/>
      <c r="H70" s="678"/>
      <c r="I70" s="678"/>
      <c r="J70" s="678"/>
      <c r="K70" s="99"/>
      <c r="L70" s="100" t="s">
        <v>186</v>
      </c>
      <c r="M70" s="134">
        <v>44015</v>
      </c>
      <c r="N70" s="134">
        <v>44046</v>
      </c>
      <c r="O70" s="157" t="s">
        <v>294</v>
      </c>
      <c r="P70" s="157" t="s">
        <v>318</v>
      </c>
      <c r="Q70" s="125"/>
      <c r="R70" s="101">
        <f>25500000+23000000</f>
        <v>48500000</v>
      </c>
      <c r="S70" s="182" t="s">
        <v>386</v>
      </c>
      <c r="T70" s="102"/>
      <c r="U70" s="253" t="s">
        <v>194</v>
      </c>
      <c r="V70" s="302">
        <v>24020</v>
      </c>
      <c r="W70" s="332">
        <v>43938</v>
      </c>
      <c r="X70" s="174">
        <v>48500000</v>
      </c>
      <c r="Y70" s="174">
        <v>48500000</v>
      </c>
      <c r="Z70" s="352">
        <v>14267251</v>
      </c>
      <c r="AA70" s="352">
        <f>+R70-Y70</f>
        <v>0</v>
      </c>
      <c r="AB70" s="352">
        <f>+Z70-AA70</f>
        <v>14267251</v>
      </c>
      <c r="AC70" s="352">
        <f>IF(Z70=0,"0",IF(Z70&gt;0,Y70-Z70,))</f>
        <v>34232749</v>
      </c>
      <c r="AD70" s="352">
        <f>+R70-Y70+AB70</f>
        <v>14267251</v>
      </c>
      <c r="AG70" s="273"/>
      <c r="AH70" s="273"/>
    </row>
    <row r="71" spans="2:34" ht="30" customHeight="1" x14ac:dyDescent="0.2">
      <c r="B71" s="11" t="s">
        <v>7</v>
      </c>
      <c r="C71" s="4" t="s">
        <v>20</v>
      </c>
      <c r="D71" s="4" t="s">
        <v>20</v>
      </c>
      <c r="E71" s="4" t="s">
        <v>8</v>
      </c>
      <c r="F71" s="4" t="s">
        <v>11</v>
      </c>
      <c r="G71" s="4" t="s">
        <v>13</v>
      </c>
      <c r="H71" s="4" t="s">
        <v>23</v>
      </c>
      <c r="I71" s="4"/>
      <c r="J71" s="197"/>
      <c r="K71" s="11"/>
      <c r="L71" s="6" t="s">
        <v>65</v>
      </c>
      <c r="M71" s="6"/>
      <c r="N71" s="133"/>
      <c r="O71" s="156"/>
      <c r="P71" s="156"/>
      <c r="Q71" s="125">
        <v>27000000</v>
      </c>
      <c r="R71" s="5">
        <f>SUM(R72:R72)</f>
        <v>15184658.609999999</v>
      </c>
      <c r="S71" s="181"/>
      <c r="T71" s="9"/>
      <c r="U71" s="245"/>
      <c r="V71" s="301"/>
      <c r="W71" s="331"/>
      <c r="X71" s="5"/>
      <c r="Y71" s="5"/>
      <c r="Z71" s="355"/>
      <c r="AA71" s="355"/>
      <c r="AB71" s="355"/>
      <c r="AC71" s="355"/>
      <c r="AD71" s="355"/>
      <c r="AG71" s="273"/>
      <c r="AH71" s="273"/>
    </row>
    <row r="72" spans="2:34" ht="30" customHeight="1" x14ac:dyDescent="0.2">
      <c r="B72" s="677"/>
      <c r="C72" s="678"/>
      <c r="D72" s="678"/>
      <c r="E72" s="678"/>
      <c r="F72" s="678"/>
      <c r="G72" s="678"/>
      <c r="H72" s="678"/>
      <c r="I72" s="678"/>
      <c r="J72" s="678"/>
      <c r="K72" s="177" t="s">
        <v>378</v>
      </c>
      <c r="L72" s="178" t="s">
        <v>365</v>
      </c>
      <c r="M72" s="134">
        <v>43840</v>
      </c>
      <c r="N72" s="134">
        <v>43900</v>
      </c>
      <c r="O72" s="157" t="s">
        <v>326</v>
      </c>
      <c r="P72" s="157" t="s">
        <v>360</v>
      </c>
      <c r="Q72" s="125"/>
      <c r="R72" s="101">
        <f>26960000-11775341.39</f>
        <v>15184658.609999999</v>
      </c>
      <c r="S72" s="182" t="s">
        <v>386</v>
      </c>
      <c r="T72" s="102"/>
      <c r="U72" s="253" t="s">
        <v>194</v>
      </c>
      <c r="V72" s="302">
        <v>3120</v>
      </c>
      <c r="W72" s="332">
        <v>43843</v>
      </c>
      <c r="X72" s="174">
        <v>26960000</v>
      </c>
      <c r="Y72" s="174">
        <v>15184658.609999999</v>
      </c>
      <c r="Z72" s="352">
        <v>12184659</v>
      </c>
      <c r="AA72" s="352">
        <f>+R72-Y72</f>
        <v>0</v>
      </c>
      <c r="AB72" s="352">
        <f>+Z72-AA72</f>
        <v>12184659</v>
      </c>
      <c r="AC72" s="352">
        <f>IF(Z72=0,"0",IF(Z72&gt;0,Y72-Z72,))</f>
        <v>2999999.6099999994</v>
      </c>
      <c r="AD72" s="352">
        <f>+R72-Y72+AB72</f>
        <v>12184659</v>
      </c>
      <c r="AG72" s="273"/>
      <c r="AH72" s="273"/>
    </row>
    <row r="73" spans="2:34" ht="15" customHeight="1" x14ac:dyDescent="0.2">
      <c r="B73" s="91" t="s">
        <v>7</v>
      </c>
      <c r="C73" s="92" t="s">
        <v>20</v>
      </c>
      <c r="D73" s="92" t="s">
        <v>20</v>
      </c>
      <c r="E73" s="92" t="s">
        <v>8</v>
      </c>
      <c r="F73" s="92" t="s">
        <v>11</v>
      </c>
      <c r="G73" s="92" t="s">
        <v>14</v>
      </c>
      <c r="H73" s="92"/>
      <c r="I73" s="92"/>
      <c r="J73" s="196"/>
      <c r="K73" s="91"/>
      <c r="L73" s="93" t="s">
        <v>66</v>
      </c>
      <c r="M73" s="93"/>
      <c r="N73" s="132"/>
      <c r="O73" s="155"/>
      <c r="P73" s="155"/>
      <c r="Q73" s="125">
        <f>+Q74+Q76+Q78+Q80</f>
        <v>118400000</v>
      </c>
      <c r="R73" s="94">
        <f>+R74+R76+R78+R80</f>
        <v>112122384</v>
      </c>
      <c r="S73" s="92"/>
      <c r="T73" s="95"/>
      <c r="U73" s="244"/>
      <c r="V73" s="300"/>
      <c r="W73" s="330"/>
      <c r="X73" s="94"/>
      <c r="Y73" s="94"/>
      <c r="Z73" s="354"/>
      <c r="AA73" s="354"/>
      <c r="AB73" s="354"/>
      <c r="AC73" s="354"/>
      <c r="AD73" s="354"/>
      <c r="AG73" s="273"/>
      <c r="AH73" s="273"/>
    </row>
    <row r="74" spans="2:34" ht="15" customHeight="1" x14ac:dyDescent="0.2">
      <c r="B74" s="11" t="s">
        <v>7</v>
      </c>
      <c r="C74" s="4" t="s">
        <v>20</v>
      </c>
      <c r="D74" s="4" t="s">
        <v>20</v>
      </c>
      <c r="E74" s="4" t="s">
        <v>8</v>
      </c>
      <c r="F74" s="4" t="s">
        <v>11</v>
      </c>
      <c r="G74" s="4" t="s">
        <v>14</v>
      </c>
      <c r="H74" s="4" t="s">
        <v>8</v>
      </c>
      <c r="I74" s="4"/>
      <c r="J74" s="197"/>
      <c r="K74" s="11"/>
      <c r="L74" s="6" t="s">
        <v>67</v>
      </c>
      <c r="M74" s="6"/>
      <c r="N74" s="133"/>
      <c r="O74" s="156"/>
      <c r="P74" s="156"/>
      <c r="Q74" s="125">
        <v>10000000</v>
      </c>
      <c r="R74" s="5">
        <f>SUM(R75:R75)</f>
        <v>10000000</v>
      </c>
      <c r="S74" s="181"/>
      <c r="T74" s="9"/>
      <c r="U74" s="245"/>
      <c r="V74" s="301"/>
      <c r="W74" s="331"/>
      <c r="X74" s="5"/>
      <c r="Y74" s="5"/>
      <c r="Z74" s="355"/>
      <c r="AA74" s="355"/>
      <c r="AB74" s="355"/>
      <c r="AC74" s="355"/>
      <c r="AD74" s="355"/>
      <c r="AG74" s="273"/>
      <c r="AH74" s="273"/>
    </row>
    <row r="75" spans="2:34" ht="15" customHeight="1" x14ac:dyDescent="0.2">
      <c r="B75" s="677"/>
      <c r="C75" s="678"/>
      <c r="D75" s="678"/>
      <c r="E75" s="678"/>
      <c r="F75" s="678"/>
      <c r="G75" s="678"/>
      <c r="H75" s="678"/>
      <c r="I75" s="678"/>
      <c r="J75" s="678"/>
      <c r="K75" s="99">
        <v>25172500</v>
      </c>
      <c r="L75" s="100" t="s">
        <v>243</v>
      </c>
      <c r="M75" s="134">
        <v>43863</v>
      </c>
      <c r="N75" s="134">
        <v>43924</v>
      </c>
      <c r="O75" s="157" t="s">
        <v>294</v>
      </c>
      <c r="P75" s="157" t="s">
        <v>318</v>
      </c>
      <c r="Q75" s="125"/>
      <c r="R75" s="101">
        <v>10000000</v>
      </c>
      <c r="S75" s="182" t="s">
        <v>386</v>
      </c>
      <c r="T75" s="102"/>
      <c r="U75" s="253" t="s">
        <v>267</v>
      </c>
      <c r="V75" s="302">
        <v>23120</v>
      </c>
      <c r="W75" s="332">
        <v>43934</v>
      </c>
      <c r="X75" s="174">
        <v>10000000</v>
      </c>
      <c r="Y75" s="174">
        <v>10000000</v>
      </c>
      <c r="Z75" s="352">
        <v>0</v>
      </c>
      <c r="AA75" s="352">
        <f>+R75-Y75</f>
        <v>0</v>
      </c>
      <c r="AB75" s="352">
        <f>+Z75-AA75</f>
        <v>0</v>
      </c>
      <c r="AC75" s="352" t="str">
        <f>IF(Z75=0,"0",IF(Z75&gt;0,Y75-Z75,))</f>
        <v>0</v>
      </c>
      <c r="AD75" s="352">
        <f>+R75-Y75+AB75</f>
        <v>0</v>
      </c>
      <c r="AG75" s="273"/>
      <c r="AH75" s="273"/>
    </row>
    <row r="76" spans="2:34" ht="15" customHeight="1" x14ac:dyDescent="0.2">
      <c r="B76" s="11" t="s">
        <v>7</v>
      </c>
      <c r="C76" s="4" t="s">
        <v>20</v>
      </c>
      <c r="D76" s="4" t="s">
        <v>20</v>
      </c>
      <c r="E76" s="4" t="s">
        <v>8</v>
      </c>
      <c r="F76" s="4" t="s">
        <v>11</v>
      </c>
      <c r="G76" s="4" t="s">
        <v>14</v>
      </c>
      <c r="H76" s="4" t="s">
        <v>20</v>
      </c>
      <c r="I76" s="4"/>
      <c r="J76" s="197"/>
      <c r="K76" s="11"/>
      <c r="L76" s="6" t="s">
        <v>68</v>
      </c>
      <c r="M76" s="6"/>
      <c r="N76" s="133"/>
      <c r="O76" s="156"/>
      <c r="P76" s="156"/>
      <c r="Q76" s="125">
        <v>37800000</v>
      </c>
      <c r="R76" s="5">
        <f>SUM(R77:R77)</f>
        <v>37800000</v>
      </c>
      <c r="S76" s="181"/>
      <c r="T76" s="9"/>
      <c r="U76" s="245"/>
      <c r="V76" s="301"/>
      <c r="W76" s="331"/>
      <c r="X76" s="5"/>
      <c r="Y76" s="5"/>
      <c r="Z76" s="355"/>
      <c r="AA76" s="355"/>
      <c r="AB76" s="355"/>
      <c r="AC76" s="355"/>
      <c r="AD76" s="355"/>
      <c r="AG76" s="273"/>
      <c r="AH76" s="273"/>
    </row>
    <row r="77" spans="2:34" ht="15" customHeight="1" x14ac:dyDescent="0.2">
      <c r="B77" s="677"/>
      <c r="C77" s="678"/>
      <c r="D77" s="678"/>
      <c r="E77" s="678"/>
      <c r="F77" s="678"/>
      <c r="G77" s="678"/>
      <c r="H77" s="678"/>
      <c r="I77" s="678"/>
      <c r="J77" s="678"/>
      <c r="K77" s="99"/>
      <c r="L77" s="100" t="s">
        <v>279</v>
      </c>
      <c r="M77" s="134">
        <v>43922</v>
      </c>
      <c r="N77" s="134">
        <v>43954</v>
      </c>
      <c r="O77" s="157" t="s">
        <v>307</v>
      </c>
      <c r="P77" s="157" t="s">
        <v>319</v>
      </c>
      <c r="Q77" s="125"/>
      <c r="R77" s="101">
        <v>37800000</v>
      </c>
      <c r="S77" s="182" t="s">
        <v>386</v>
      </c>
      <c r="T77" s="102"/>
      <c r="U77" s="253" t="s">
        <v>194</v>
      </c>
      <c r="V77" s="302">
        <v>14620</v>
      </c>
      <c r="W77" s="332">
        <v>43942</v>
      </c>
      <c r="X77" s="174">
        <v>37800000</v>
      </c>
      <c r="Y77" s="174">
        <v>37800000</v>
      </c>
      <c r="Z77" s="352">
        <v>0</v>
      </c>
      <c r="AA77" s="352">
        <f>+R77-Y77</f>
        <v>0</v>
      </c>
      <c r="AB77" s="352">
        <f>+Z77-AA77</f>
        <v>0</v>
      </c>
      <c r="AC77" s="352" t="str">
        <f>IF(Z77=0,"0",IF(Z77&gt;0,Y77-Z77,))</f>
        <v>0</v>
      </c>
      <c r="AD77" s="352">
        <f>+R77-Y77+AB77</f>
        <v>0</v>
      </c>
      <c r="AG77" s="273"/>
      <c r="AH77" s="273"/>
    </row>
    <row r="78" spans="2:34" ht="15" customHeight="1" x14ac:dyDescent="0.2">
      <c r="B78" s="11" t="s">
        <v>7</v>
      </c>
      <c r="C78" s="4" t="s">
        <v>20</v>
      </c>
      <c r="D78" s="4" t="s">
        <v>20</v>
      </c>
      <c r="E78" s="4" t="s">
        <v>8</v>
      </c>
      <c r="F78" s="4" t="s">
        <v>11</v>
      </c>
      <c r="G78" s="4" t="s">
        <v>14</v>
      </c>
      <c r="H78" s="4" t="s">
        <v>23</v>
      </c>
      <c r="I78" s="4"/>
      <c r="J78" s="197"/>
      <c r="K78" s="11"/>
      <c r="L78" s="6" t="s">
        <v>69</v>
      </c>
      <c r="M78" s="6"/>
      <c r="N78" s="133"/>
      <c r="O78" s="156"/>
      <c r="P78" s="156"/>
      <c r="Q78" s="125">
        <v>60000000</v>
      </c>
      <c r="R78" s="5">
        <f>SUM(R79:R79)</f>
        <v>60000000</v>
      </c>
      <c r="S78" s="181"/>
      <c r="T78" s="9"/>
      <c r="U78" s="245"/>
      <c r="V78" s="301"/>
      <c r="W78" s="331"/>
      <c r="X78" s="5"/>
      <c r="Y78" s="5"/>
      <c r="Z78" s="355"/>
      <c r="AA78" s="355"/>
      <c r="AB78" s="355"/>
      <c r="AC78" s="355"/>
      <c r="AD78" s="355"/>
      <c r="AG78" s="273"/>
      <c r="AH78" s="273"/>
    </row>
    <row r="79" spans="2:34" ht="15" customHeight="1" x14ac:dyDescent="0.2">
      <c r="B79" s="677"/>
      <c r="C79" s="678"/>
      <c r="D79" s="678"/>
      <c r="E79" s="678"/>
      <c r="F79" s="678"/>
      <c r="G79" s="678"/>
      <c r="H79" s="678"/>
      <c r="I79" s="678"/>
      <c r="J79" s="678"/>
      <c r="K79" s="99"/>
      <c r="L79" s="100" t="s">
        <v>187</v>
      </c>
      <c r="M79" s="134">
        <v>43983</v>
      </c>
      <c r="N79" s="134">
        <v>44046</v>
      </c>
      <c r="O79" s="157" t="s">
        <v>332</v>
      </c>
      <c r="P79" s="157" t="s">
        <v>319</v>
      </c>
      <c r="Q79" s="125"/>
      <c r="R79" s="101">
        <v>60000000</v>
      </c>
      <c r="S79" s="182" t="s">
        <v>386</v>
      </c>
      <c r="T79" s="102"/>
      <c r="U79" s="253" t="s">
        <v>194</v>
      </c>
      <c r="V79" s="302">
        <v>31320</v>
      </c>
      <c r="W79" s="332">
        <v>43984</v>
      </c>
      <c r="X79" s="174">
        <v>60000000</v>
      </c>
      <c r="Y79" s="174">
        <v>60000000</v>
      </c>
      <c r="Z79" s="352">
        <v>0</v>
      </c>
      <c r="AA79" s="352">
        <f>+R79-Y79</f>
        <v>0</v>
      </c>
      <c r="AB79" s="352">
        <f>+Z79-AA79</f>
        <v>0</v>
      </c>
      <c r="AC79" s="352" t="str">
        <f>IF(Z79=0,"0",IF(Z79&gt;0,Y79-Z79,))</f>
        <v>0</v>
      </c>
      <c r="AD79" s="352">
        <f>+R79-Y79+AB79</f>
        <v>0</v>
      </c>
      <c r="AG79" s="273"/>
      <c r="AH79" s="273"/>
    </row>
    <row r="80" spans="2:34" ht="15" customHeight="1" x14ac:dyDescent="0.2">
      <c r="B80" s="11" t="s">
        <v>7</v>
      </c>
      <c r="C80" s="4" t="s">
        <v>20</v>
      </c>
      <c r="D80" s="4" t="s">
        <v>20</v>
      </c>
      <c r="E80" s="4" t="s">
        <v>8</v>
      </c>
      <c r="F80" s="4" t="s">
        <v>11</v>
      </c>
      <c r="G80" s="4" t="s">
        <v>14</v>
      </c>
      <c r="H80" s="4" t="s">
        <v>24</v>
      </c>
      <c r="I80" s="4"/>
      <c r="J80" s="197"/>
      <c r="K80" s="12"/>
      <c r="L80" s="10" t="s">
        <v>70</v>
      </c>
      <c r="M80" s="10"/>
      <c r="N80" s="136"/>
      <c r="O80" s="159"/>
      <c r="P80" s="159"/>
      <c r="Q80" s="125">
        <v>10600000</v>
      </c>
      <c r="R80" s="8">
        <f>SUM(R81:R81)</f>
        <v>4322384</v>
      </c>
      <c r="S80" s="7"/>
      <c r="T80" s="108"/>
      <c r="U80" s="255"/>
      <c r="V80" s="303"/>
      <c r="W80" s="333"/>
      <c r="X80" s="8"/>
      <c r="Y80" s="8"/>
      <c r="Z80" s="358"/>
      <c r="AA80" s="358"/>
      <c r="AB80" s="358"/>
      <c r="AC80" s="358"/>
      <c r="AD80" s="358"/>
      <c r="AG80" s="273"/>
      <c r="AH80" s="273"/>
    </row>
    <row r="81" spans="2:34" ht="60" customHeight="1" x14ac:dyDescent="0.2">
      <c r="B81" s="677"/>
      <c r="C81" s="678"/>
      <c r="D81" s="678"/>
      <c r="E81" s="678"/>
      <c r="F81" s="678"/>
      <c r="G81" s="678"/>
      <c r="H81" s="678"/>
      <c r="I81" s="678"/>
      <c r="J81" s="678"/>
      <c r="K81" s="177" t="s">
        <v>377</v>
      </c>
      <c r="L81" s="178" t="s">
        <v>364</v>
      </c>
      <c r="M81" s="134">
        <v>43840</v>
      </c>
      <c r="N81" s="134">
        <v>43900</v>
      </c>
      <c r="O81" s="157" t="s">
        <v>299</v>
      </c>
      <c r="P81" s="157" t="s">
        <v>360</v>
      </c>
      <c r="Q81" s="125"/>
      <c r="R81" s="101">
        <f>10430000-6107616</f>
        <v>4322384</v>
      </c>
      <c r="S81" s="182" t="s">
        <v>386</v>
      </c>
      <c r="T81" s="102"/>
      <c r="U81" s="253" t="s">
        <v>194</v>
      </c>
      <c r="V81" s="302">
        <v>3120</v>
      </c>
      <c r="W81" s="332">
        <v>43843</v>
      </c>
      <c r="X81" s="174">
        <v>10430000</v>
      </c>
      <c r="Y81" s="174">
        <v>4322384</v>
      </c>
      <c r="Z81" s="352">
        <v>4322384</v>
      </c>
      <c r="AA81" s="352">
        <f>+R81-Y81</f>
        <v>0</v>
      </c>
      <c r="AB81" s="352">
        <f>+Z81-AA81</f>
        <v>4322384</v>
      </c>
      <c r="AC81" s="352">
        <f>IF(Z81=0,"0",IF(Z81&gt;0,Y81-Z81,))</f>
        <v>0</v>
      </c>
      <c r="AD81" s="352">
        <f>+R81-Y81+AB81</f>
        <v>4322384</v>
      </c>
      <c r="AG81" s="273"/>
      <c r="AH81" s="273"/>
    </row>
    <row r="82" spans="2:34" ht="15" customHeight="1" x14ac:dyDescent="0.2">
      <c r="B82" s="91" t="s">
        <v>7</v>
      </c>
      <c r="C82" s="92" t="s">
        <v>20</v>
      </c>
      <c r="D82" s="92" t="s">
        <v>20</v>
      </c>
      <c r="E82" s="92" t="s">
        <v>8</v>
      </c>
      <c r="F82" s="92" t="s">
        <v>11</v>
      </c>
      <c r="G82" s="92" t="s">
        <v>16</v>
      </c>
      <c r="H82" s="92"/>
      <c r="I82" s="92"/>
      <c r="J82" s="196"/>
      <c r="K82" s="91"/>
      <c r="L82" s="93" t="s">
        <v>188</v>
      </c>
      <c r="M82" s="93"/>
      <c r="N82" s="132"/>
      <c r="O82" s="155"/>
      <c r="P82" s="155"/>
      <c r="Q82" s="125">
        <f>+Q83</f>
        <v>30900000</v>
      </c>
      <c r="R82" s="94">
        <f>+R83</f>
        <v>29800000</v>
      </c>
      <c r="S82" s="92"/>
      <c r="T82" s="95"/>
      <c r="U82" s="244"/>
      <c r="V82" s="300"/>
      <c r="W82" s="330"/>
      <c r="X82" s="94"/>
      <c r="Y82" s="94"/>
      <c r="Z82" s="354"/>
      <c r="AA82" s="354"/>
      <c r="AB82" s="354"/>
      <c r="AC82" s="354"/>
      <c r="AD82" s="354"/>
      <c r="AG82" s="273"/>
      <c r="AH82" s="273"/>
    </row>
    <row r="83" spans="2:34" ht="15.6" customHeight="1" x14ac:dyDescent="0.2">
      <c r="B83" s="12" t="s">
        <v>7</v>
      </c>
      <c r="C83" s="7" t="s">
        <v>20</v>
      </c>
      <c r="D83" s="7" t="s">
        <v>20</v>
      </c>
      <c r="E83" s="7" t="s">
        <v>8</v>
      </c>
      <c r="F83" s="7" t="s">
        <v>11</v>
      </c>
      <c r="G83" s="4" t="s">
        <v>16</v>
      </c>
      <c r="H83" s="4" t="s">
        <v>31</v>
      </c>
      <c r="I83" s="7"/>
      <c r="J83" s="198"/>
      <c r="K83" s="12"/>
      <c r="L83" s="10" t="s">
        <v>189</v>
      </c>
      <c r="M83" s="10"/>
      <c r="N83" s="136"/>
      <c r="O83" s="159"/>
      <c r="P83" s="159"/>
      <c r="Q83" s="125">
        <v>30900000</v>
      </c>
      <c r="R83" s="8">
        <f>SUM(R84:R84)</f>
        <v>29800000</v>
      </c>
      <c r="S83" s="7"/>
      <c r="T83" s="108"/>
      <c r="U83" s="255"/>
      <c r="V83" s="303"/>
      <c r="W83" s="333"/>
      <c r="X83" s="8"/>
      <c r="Y83" s="8"/>
      <c r="Z83" s="358"/>
      <c r="AA83" s="358"/>
      <c r="AB83" s="358"/>
      <c r="AC83" s="358"/>
      <c r="AD83" s="358"/>
      <c r="AG83" s="273"/>
      <c r="AH83" s="273"/>
    </row>
    <row r="84" spans="2:34" s="107" customFormat="1" ht="75" customHeight="1" x14ac:dyDescent="0.25">
      <c r="B84" s="682"/>
      <c r="C84" s="683"/>
      <c r="D84" s="683"/>
      <c r="E84" s="683"/>
      <c r="F84" s="683"/>
      <c r="G84" s="683"/>
      <c r="H84" s="683"/>
      <c r="I84" s="683"/>
      <c r="J84" s="683"/>
      <c r="K84" s="113"/>
      <c r="L84" s="381" t="s">
        <v>275</v>
      </c>
      <c r="M84" s="381"/>
      <c r="N84" s="137"/>
      <c r="O84" s="160"/>
      <c r="P84" s="160"/>
      <c r="Q84" s="125"/>
      <c r="R84" s="115">
        <v>29800000</v>
      </c>
      <c r="S84" s="187"/>
      <c r="T84" s="382"/>
      <c r="U84" s="256"/>
      <c r="V84" s="302" t="s">
        <v>434</v>
      </c>
      <c r="W84" s="332" t="s">
        <v>433</v>
      </c>
      <c r="X84" s="174">
        <f>6000000+6000000+253108.99+1491130+660633+3829633</f>
        <v>18234504.990000002</v>
      </c>
      <c r="Y84" s="174">
        <v>6000000</v>
      </c>
      <c r="Z84" s="352"/>
      <c r="AA84" s="352">
        <f>+R84-Y84</f>
        <v>23800000</v>
      </c>
      <c r="AB84" s="352">
        <f>+Z84-AA84</f>
        <v>-23800000</v>
      </c>
      <c r="AC84" s="352" t="str">
        <f>IF(Z84=0,"0",IF(Z84&gt;0,Y84-Z84,))</f>
        <v>0</v>
      </c>
      <c r="AD84" s="352">
        <f>+R84-Y84+AB84</f>
        <v>0</v>
      </c>
      <c r="AG84" s="383"/>
      <c r="AH84" s="383"/>
    </row>
    <row r="85" spans="2:34" ht="15" customHeight="1" x14ac:dyDescent="0.2">
      <c r="B85" s="13" t="s">
        <v>7</v>
      </c>
      <c r="C85" s="14" t="s">
        <v>20</v>
      </c>
      <c r="D85" s="14" t="s">
        <v>20</v>
      </c>
      <c r="E85" s="14" t="s">
        <v>8</v>
      </c>
      <c r="F85" s="14" t="s">
        <v>12</v>
      </c>
      <c r="G85" s="14"/>
      <c r="H85" s="14"/>
      <c r="I85" s="14"/>
      <c r="J85" s="195"/>
      <c r="K85" s="13"/>
      <c r="L85" s="15" t="s">
        <v>73</v>
      </c>
      <c r="M85" s="15"/>
      <c r="N85" s="131"/>
      <c r="O85" s="154"/>
      <c r="P85" s="154"/>
      <c r="Q85" s="125">
        <f>+Q90+Q94+Q97+Q102+Q86</f>
        <v>260300000</v>
      </c>
      <c r="R85" s="16">
        <f>+R90+R94+R97+R102+R86</f>
        <v>260957000</v>
      </c>
      <c r="S85" s="14"/>
      <c r="T85" s="17"/>
      <c r="U85" s="252"/>
      <c r="V85" s="299"/>
      <c r="W85" s="329"/>
      <c r="X85" s="16"/>
      <c r="Y85" s="16"/>
      <c r="Z85" s="353"/>
      <c r="AA85" s="353"/>
      <c r="AB85" s="353"/>
      <c r="AC85" s="353"/>
      <c r="AD85" s="353"/>
      <c r="AG85" s="273"/>
      <c r="AH85" s="273"/>
    </row>
    <row r="86" spans="2:34" ht="15.6" customHeight="1" x14ac:dyDescent="0.2">
      <c r="B86" s="91" t="s">
        <v>7</v>
      </c>
      <c r="C86" s="92" t="s">
        <v>20</v>
      </c>
      <c r="D86" s="92" t="s">
        <v>20</v>
      </c>
      <c r="E86" s="92" t="s">
        <v>8</v>
      </c>
      <c r="F86" s="92" t="s">
        <v>12</v>
      </c>
      <c r="G86" s="92" t="s">
        <v>10</v>
      </c>
      <c r="H86" s="92"/>
      <c r="I86" s="92"/>
      <c r="J86" s="196"/>
      <c r="K86" s="91"/>
      <c r="L86" s="93" t="s">
        <v>74</v>
      </c>
      <c r="M86" s="93"/>
      <c r="N86" s="132"/>
      <c r="O86" s="155"/>
      <c r="P86" s="155"/>
      <c r="Q86" s="125">
        <v>21500000</v>
      </c>
      <c r="R86" s="94">
        <f>SUM(R87:R89)</f>
        <v>45357000</v>
      </c>
      <c r="S86" s="92"/>
      <c r="T86" s="95"/>
      <c r="U86" s="244"/>
      <c r="V86" s="300"/>
      <c r="W86" s="330"/>
      <c r="X86" s="94"/>
      <c r="Y86" s="94"/>
      <c r="Z86" s="354"/>
      <c r="AA86" s="354"/>
      <c r="AB86" s="354"/>
      <c r="AC86" s="354"/>
      <c r="AD86" s="354"/>
      <c r="AG86" s="273"/>
      <c r="AH86" s="273"/>
    </row>
    <row r="87" spans="2:34" ht="15" customHeight="1" x14ac:dyDescent="0.2">
      <c r="B87" s="682"/>
      <c r="C87" s="683"/>
      <c r="D87" s="683"/>
      <c r="E87" s="683"/>
      <c r="F87" s="683"/>
      <c r="G87" s="683"/>
      <c r="H87" s="683"/>
      <c r="I87" s="683"/>
      <c r="J87" s="683"/>
      <c r="K87" s="99"/>
      <c r="L87" s="100" t="s">
        <v>282</v>
      </c>
      <c r="M87" s="134">
        <v>43922</v>
      </c>
      <c r="N87" s="134">
        <v>43952</v>
      </c>
      <c r="O87" s="157" t="s">
        <v>307</v>
      </c>
      <c r="P87" s="157" t="s">
        <v>318</v>
      </c>
      <c r="Q87" s="125"/>
      <c r="R87" s="101">
        <v>11000000</v>
      </c>
      <c r="S87" s="182" t="s">
        <v>386</v>
      </c>
      <c r="T87" s="102"/>
      <c r="U87" s="253" t="s">
        <v>194</v>
      </c>
      <c r="V87" s="302"/>
      <c r="W87" s="332"/>
      <c r="X87" s="174"/>
      <c r="Y87" s="174"/>
      <c r="Z87" s="352"/>
      <c r="AA87" s="352">
        <f>+R87-Y87</f>
        <v>11000000</v>
      </c>
      <c r="AB87" s="352">
        <f>+Z87-AA87</f>
        <v>-11000000</v>
      </c>
      <c r="AC87" s="352" t="str">
        <f>IF(Z87=0,"0",IF(Z87&gt;0,Y87-Z87,))</f>
        <v>0</v>
      </c>
      <c r="AD87" s="352">
        <f>+R87-Y87+AB87</f>
        <v>0</v>
      </c>
      <c r="AG87" s="273"/>
      <c r="AH87" s="273"/>
    </row>
    <row r="88" spans="2:34" ht="30" customHeight="1" x14ac:dyDescent="0.2">
      <c r="B88" s="682"/>
      <c r="C88" s="683"/>
      <c r="D88" s="683"/>
      <c r="E88" s="683"/>
      <c r="F88" s="683"/>
      <c r="G88" s="683"/>
      <c r="H88" s="683"/>
      <c r="I88" s="683"/>
      <c r="J88" s="683"/>
      <c r="K88" s="177" t="s">
        <v>298</v>
      </c>
      <c r="L88" s="178" t="s">
        <v>244</v>
      </c>
      <c r="M88" s="134">
        <v>43876</v>
      </c>
      <c r="N88" s="134">
        <v>43905</v>
      </c>
      <c r="O88" s="157" t="s">
        <v>294</v>
      </c>
      <c r="P88" s="157" t="s">
        <v>319</v>
      </c>
      <c r="Q88" s="125"/>
      <c r="R88" s="101">
        <f>13450000+907000</f>
        <v>14357000</v>
      </c>
      <c r="S88" s="182" t="s">
        <v>386</v>
      </c>
      <c r="T88" s="102"/>
      <c r="U88" s="257" t="s">
        <v>291</v>
      </c>
      <c r="V88" s="302"/>
      <c r="W88" s="332"/>
      <c r="X88" s="174"/>
      <c r="Y88" s="174"/>
      <c r="Z88" s="352"/>
      <c r="AA88" s="352">
        <f>+R88-Y88</f>
        <v>14357000</v>
      </c>
      <c r="AB88" s="352">
        <f>+Z88-AA88</f>
        <v>-14357000</v>
      </c>
      <c r="AC88" s="352" t="str">
        <f>IF(Z88=0,"0",IF(Z88&gt;0,Y88-Z88,))</f>
        <v>0</v>
      </c>
      <c r="AD88" s="352">
        <f>+R88-Y88+AB88</f>
        <v>0</v>
      </c>
      <c r="AG88" s="273"/>
      <c r="AH88" s="273"/>
    </row>
    <row r="89" spans="2:34" ht="30" customHeight="1" x14ac:dyDescent="0.2">
      <c r="B89" s="682"/>
      <c r="C89" s="683"/>
      <c r="D89" s="683"/>
      <c r="E89" s="683"/>
      <c r="F89" s="683"/>
      <c r="G89" s="683"/>
      <c r="H89" s="683"/>
      <c r="I89" s="683"/>
      <c r="J89" s="683"/>
      <c r="K89" s="177" t="s">
        <v>379</v>
      </c>
      <c r="L89" s="178" t="s">
        <v>380</v>
      </c>
      <c r="M89" s="134">
        <v>43876</v>
      </c>
      <c r="N89" s="134">
        <v>43905</v>
      </c>
      <c r="O89" s="157" t="s">
        <v>294</v>
      </c>
      <c r="P89" s="157" t="s">
        <v>319</v>
      </c>
      <c r="Q89" s="125"/>
      <c r="R89" s="101">
        <v>20000000</v>
      </c>
      <c r="S89" s="182" t="s">
        <v>386</v>
      </c>
      <c r="T89" s="102"/>
      <c r="U89" s="253" t="s">
        <v>274</v>
      </c>
      <c r="V89" s="302"/>
      <c r="W89" s="332"/>
      <c r="X89" s="174"/>
      <c r="Y89" s="174"/>
      <c r="Z89" s="352"/>
      <c r="AA89" s="352">
        <f>+R89-Y89</f>
        <v>20000000</v>
      </c>
      <c r="AB89" s="352">
        <f>+Z89-AA89</f>
        <v>-20000000</v>
      </c>
      <c r="AC89" s="352" t="str">
        <f>IF(Z89=0,"0",IF(Z89&gt;0,Y89-Z89,))</f>
        <v>0</v>
      </c>
      <c r="AD89" s="352">
        <f>+R89-Y89+AB89</f>
        <v>0</v>
      </c>
      <c r="AG89" s="273"/>
      <c r="AH89" s="273"/>
    </row>
    <row r="90" spans="2:34" ht="15" customHeight="1" x14ac:dyDescent="0.2">
      <c r="B90" s="91" t="s">
        <v>7</v>
      </c>
      <c r="C90" s="92" t="s">
        <v>20</v>
      </c>
      <c r="D90" s="92" t="s">
        <v>20</v>
      </c>
      <c r="E90" s="92" t="s">
        <v>8</v>
      </c>
      <c r="F90" s="92" t="s">
        <v>12</v>
      </c>
      <c r="G90" s="92" t="s">
        <v>12</v>
      </c>
      <c r="H90" s="92"/>
      <c r="I90" s="92"/>
      <c r="J90" s="196"/>
      <c r="K90" s="91"/>
      <c r="L90" s="93" t="s">
        <v>39</v>
      </c>
      <c r="M90" s="93"/>
      <c r="N90" s="132"/>
      <c r="O90" s="155"/>
      <c r="P90" s="155"/>
      <c r="Q90" s="125">
        <f>+Q91</f>
        <v>60000000</v>
      </c>
      <c r="R90" s="94">
        <f>+R91</f>
        <v>46800000</v>
      </c>
      <c r="S90" s="92"/>
      <c r="T90" s="95"/>
      <c r="U90" s="244"/>
      <c r="V90" s="300"/>
      <c r="W90" s="330"/>
      <c r="X90" s="94"/>
      <c r="Y90" s="94"/>
      <c r="Z90" s="354"/>
      <c r="AA90" s="354"/>
      <c r="AB90" s="354"/>
      <c r="AC90" s="354"/>
      <c r="AD90" s="354"/>
      <c r="AG90" s="273"/>
      <c r="AH90" s="273"/>
    </row>
    <row r="91" spans="2:34" ht="15" customHeight="1" x14ac:dyDescent="0.2">
      <c r="B91" s="11" t="s">
        <v>7</v>
      </c>
      <c r="C91" s="4" t="s">
        <v>20</v>
      </c>
      <c r="D91" s="4" t="s">
        <v>20</v>
      </c>
      <c r="E91" s="4" t="s">
        <v>8</v>
      </c>
      <c r="F91" s="4" t="s">
        <v>12</v>
      </c>
      <c r="G91" s="4" t="s">
        <v>12</v>
      </c>
      <c r="H91" s="4" t="s">
        <v>31</v>
      </c>
      <c r="I91" s="4"/>
      <c r="J91" s="197"/>
      <c r="K91" s="11"/>
      <c r="L91" s="6" t="s">
        <v>41</v>
      </c>
      <c r="M91" s="6"/>
      <c r="N91" s="133"/>
      <c r="O91" s="156"/>
      <c r="P91" s="156"/>
      <c r="Q91" s="125">
        <v>60000000</v>
      </c>
      <c r="R91" s="5">
        <f>SUM(R92:R93)</f>
        <v>46800000</v>
      </c>
      <c r="S91" s="181"/>
      <c r="T91" s="9"/>
      <c r="U91" s="245"/>
      <c r="V91" s="301"/>
      <c r="W91" s="331"/>
      <c r="X91" s="5"/>
      <c r="Y91" s="5"/>
      <c r="Z91" s="355"/>
      <c r="AA91" s="355"/>
      <c r="AB91" s="355"/>
      <c r="AC91" s="355"/>
      <c r="AD91" s="355"/>
      <c r="AG91" s="273"/>
      <c r="AH91" s="273"/>
    </row>
    <row r="92" spans="2:34" ht="30" customHeight="1" x14ac:dyDescent="0.2">
      <c r="B92" s="677"/>
      <c r="C92" s="678"/>
      <c r="D92" s="678"/>
      <c r="E92" s="678"/>
      <c r="F92" s="678"/>
      <c r="G92" s="678"/>
      <c r="H92" s="678"/>
      <c r="I92" s="678"/>
      <c r="J92" s="678"/>
      <c r="K92" s="99"/>
      <c r="L92" s="100" t="s">
        <v>373</v>
      </c>
      <c r="M92" s="134">
        <v>43895</v>
      </c>
      <c r="N92" s="134">
        <v>43926</v>
      </c>
      <c r="O92" s="157" t="s">
        <v>307</v>
      </c>
      <c r="P92" s="157" t="s">
        <v>318</v>
      </c>
      <c r="Q92" s="125"/>
      <c r="R92" s="101">
        <v>19800000</v>
      </c>
      <c r="S92" s="182" t="s">
        <v>386</v>
      </c>
      <c r="T92" s="102"/>
      <c r="U92" s="253" t="s">
        <v>194</v>
      </c>
      <c r="V92" s="302">
        <v>23220</v>
      </c>
      <c r="W92" s="332">
        <v>43935</v>
      </c>
      <c r="X92" s="174">
        <v>19800000</v>
      </c>
      <c r="Y92" s="174">
        <v>19800000</v>
      </c>
      <c r="Z92" s="352">
        <v>19710823.870000001</v>
      </c>
      <c r="AA92" s="352">
        <f>+R92-Y92</f>
        <v>0</v>
      </c>
      <c r="AB92" s="352">
        <f>+Z92-AA92</f>
        <v>19710823.870000001</v>
      </c>
      <c r="AC92" s="352">
        <f>IF(Z92=0,"0",IF(Z92&gt;0,Y92-Z92,))</f>
        <v>89176.129999998957</v>
      </c>
      <c r="AD92" s="352">
        <f>+R92-Y92+AB92</f>
        <v>19710823.870000001</v>
      </c>
      <c r="AG92" s="273"/>
      <c r="AH92" s="273"/>
    </row>
    <row r="93" spans="2:34" ht="15" customHeight="1" x14ac:dyDescent="0.2">
      <c r="B93" s="682"/>
      <c r="C93" s="683"/>
      <c r="D93" s="683"/>
      <c r="E93" s="683"/>
      <c r="F93" s="683"/>
      <c r="G93" s="683"/>
      <c r="H93" s="683"/>
      <c r="I93" s="683"/>
      <c r="J93" s="683"/>
      <c r="K93" s="99"/>
      <c r="L93" s="100" t="s">
        <v>197</v>
      </c>
      <c r="M93" s="134">
        <v>43922</v>
      </c>
      <c r="N93" s="134">
        <v>43952</v>
      </c>
      <c r="O93" s="157" t="s">
        <v>331</v>
      </c>
      <c r="P93" s="157" t="s">
        <v>318</v>
      </c>
      <c r="Q93" s="125"/>
      <c r="R93" s="101">
        <v>27000000</v>
      </c>
      <c r="S93" s="182" t="s">
        <v>386</v>
      </c>
      <c r="T93" s="102"/>
      <c r="U93" s="253" t="s">
        <v>194</v>
      </c>
      <c r="V93" s="302"/>
      <c r="W93" s="332"/>
      <c r="X93" s="174"/>
      <c r="Y93" s="174"/>
      <c r="Z93" s="352"/>
      <c r="AA93" s="352">
        <f>+R93-Y93</f>
        <v>27000000</v>
      </c>
      <c r="AB93" s="352">
        <f>+Z93-AA93</f>
        <v>-27000000</v>
      </c>
      <c r="AC93" s="352" t="str">
        <f>IF(Z93=0,"0",IF(Z93&gt;0,Y93-Z93,))</f>
        <v>0</v>
      </c>
      <c r="AD93" s="352">
        <f>+R93-Y93+AB93</f>
        <v>0</v>
      </c>
      <c r="AG93" s="273"/>
      <c r="AH93" s="273"/>
    </row>
    <row r="94" spans="2:34" ht="15" customHeight="1" x14ac:dyDescent="0.2">
      <c r="B94" s="91" t="s">
        <v>7</v>
      </c>
      <c r="C94" s="92" t="s">
        <v>20</v>
      </c>
      <c r="D94" s="92" t="s">
        <v>20</v>
      </c>
      <c r="E94" s="92" t="s">
        <v>8</v>
      </c>
      <c r="F94" s="92" t="s">
        <v>12</v>
      </c>
      <c r="G94" s="92" t="s">
        <v>13</v>
      </c>
      <c r="H94" s="92"/>
      <c r="I94" s="92"/>
      <c r="J94" s="196"/>
      <c r="K94" s="91"/>
      <c r="L94" s="93" t="s">
        <v>42</v>
      </c>
      <c r="M94" s="93"/>
      <c r="N94" s="132"/>
      <c r="O94" s="155"/>
      <c r="P94" s="155"/>
      <c r="Q94" s="125">
        <f>+Q95</f>
        <v>8000000</v>
      </c>
      <c r="R94" s="94">
        <f>+R95</f>
        <v>8000000</v>
      </c>
      <c r="S94" s="92"/>
      <c r="T94" s="95"/>
      <c r="U94" s="244"/>
      <c r="V94" s="300"/>
      <c r="W94" s="330"/>
      <c r="X94" s="94"/>
      <c r="Y94" s="94"/>
      <c r="Z94" s="354"/>
      <c r="AA94" s="354"/>
      <c r="AB94" s="354"/>
      <c r="AC94" s="354"/>
      <c r="AD94" s="354"/>
      <c r="AG94" s="273"/>
      <c r="AH94" s="273"/>
    </row>
    <row r="95" spans="2:34" ht="17.649999999999999" customHeight="1" x14ac:dyDescent="0.2">
      <c r="B95" s="11" t="s">
        <v>7</v>
      </c>
      <c r="C95" s="4" t="s">
        <v>20</v>
      </c>
      <c r="D95" s="4" t="s">
        <v>20</v>
      </c>
      <c r="E95" s="4" t="s">
        <v>8</v>
      </c>
      <c r="F95" s="4" t="s">
        <v>12</v>
      </c>
      <c r="G95" s="4" t="s">
        <v>13</v>
      </c>
      <c r="H95" s="4" t="s">
        <v>8</v>
      </c>
      <c r="I95" s="4"/>
      <c r="J95" s="197"/>
      <c r="K95" s="11"/>
      <c r="L95" s="6" t="s">
        <v>43</v>
      </c>
      <c r="M95" s="6"/>
      <c r="N95" s="133"/>
      <c r="O95" s="156"/>
      <c r="P95" s="156"/>
      <c r="Q95" s="125">
        <v>8000000</v>
      </c>
      <c r="R95" s="5">
        <f>SUM(R96:R96)</f>
        <v>8000000</v>
      </c>
      <c r="S95" s="181"/>
      <c r="T95" s="9"/>
      <c r="U95" s="245"/>
      <c r="V95" s="301"/>
      <c r="W95" s="331"/>
      <c r="X95" s="5"/>
      <c r="Y95" s="5"/>
      <c r="Z95" s="355"/>
      <c r="AA95" s="355"/>
      <c r="AB95" s="355"/>
      <c r="AC95" s="355"/>
      <c r="AD95" s="355"/>
      <c r="AG95" s="273"/>
      <c r="AH95" s="273"/>
    </row>
    <row r="96" spans="2:34" ht="30" customHeight="1" x14ac:dyDescent="0.2">
      <c r="B96" s="677"/>
      <c r="C96" s="678"/>
      <c r="D96" s="678"/>
      <c r="E96" s="678"/>
      <c r="F96" s="678"/>
      <c r="G96" s="678"/>
      <c r="H96" s="678"/>
      <c r="I96" s="678"/>
      <c r="J96" s="678"/>
      <c r="K96" s="177" t="s">
        <v>300</v>
      </c>
      <c r="L96" s="178" t="s">
        <v>174</v>
      </c>
      <c r="M96" s="134">
        <v>43845</v>
      </c>
      <c r="N96" s="134">
        <v>43876</v>
      </c>
      <c r="O96" s="157" t="s">
        <v>299</v>
      </c>
      <c r="P96" s="157" t="s">
        <v>318</v>
      </c>
      <c r="Q96" s="125"/>
      <c r="R96" s="101">
        <v>8000000</v>
      </c>
      <c r="S96" s="182" t="s">
        <v>386</v>
      </c>
      <c r="T96" s="102"/>
      <c r="U96" s="253" t="s">
        <v>181</v>
      </c>
      <c r="V96" s="302">
        <v>19320</v>
      </c>
      <c r="W96" s="332">
        <v>43900</v>
      </c>
      <c r="X96" s="174">
        <v>8000000</v>
      </c>
      <c r="Y96" s="174">
        <v>8000000</v>
      </c>
      <c r="Z96" s="174">
        <v>3060000</v>
      </c>
      <c r="AA96" s="352">
        <f>+R96-Y96</f>
        <v>0</v>
      </c>
      <c r="AB96" s="352">
        <f>+Z96-AA96</f>
        <v>3060000</v>
      </c>
      <c r="AC96" s="352">
        <f>IF(Z96=0,"0",IF(Z96&gt;0,Y96-Z96,))</f>
        <v>4940000</v>
      </c>
      <c r="AD96" s="352">
        <f>+R96-Y96+AB96</f>
        <v>3060000</v>
      </c>
      <c r="AG96" s="273"/>
      <c r="AH96" s="273"/>
    </row>
    <row r="97" spans="2:34" ht="15" customHeight="1" x14ac:dyDescent="0.2">
      <c r="B97" s="91" t="s">
        <v>7</v>
      </c>
      <c r="C97" s="92" t="s">
        <v>20</v>
      </c>
      <c r="D97" s="92" t="s">
        <v>20</v>
      </c>
      <c r="E97" s="92" t="s">
        <v>8</v>
      </c>
      <c r="F97" s="92" t="s">
        <v>12</v>
      </c>
      <c r="G97" s="92" t="s">
        <v>15</v>
      </c>
      <c r="H97" s="92"/>
      <c r="I97" s="92"/>
      <c r="J97" s="196"/>
      <c r="K97" s="91"/>
      <c r="L97" s="93" t="s">
        <v>48</v>
      </c>
      <c r="M97" s="93"/>
      <c r="N97" s="132"/>
      <c r="O97" s="155"/>
      <c r="P97" s="155"/>
      <c r="Q97" s="125">
        <f>SUM(Q98:Q98)</f>
        <v>152000000</v>
      </c>
      <c r="R97" s="94">
        <f>SUM(R98:R98)</f>
        <v>142000000</v>
      </c>
      <c r="S97" s="92"/>
      <c r="T97" s="95"/>
      <c r="U97" s="244"/>
      <c r="V97" s="300"/>
      <c r="W97" s="330"/>
      <c r="X97" s="94"/>
      <c r="Y97" s="94"/>
      <c r="Z97" s="354"/>
      <c r="AA97" s="354"/>
      <c r="AB97" s="354"/>
      <c r="AC97" s="354"/>
      <c r="AD97" s="354"/>
      <c r="AG97" s="273"/>
      <c r="AH97" s="273"/>
    </row>
    <row r="98" spans="2:34" ht="15" customHeight="1" x14ac:dyDescent="0.2">
      <c r="B98" s="11" t="s">
        <v>7</v>
      </c>
      <c r="C98" s="4" t="s">
        <v>20</v>
      </c>
      <c r="D98" s="4" t="s">
        <v>20</v>
      </c>
      <c r="E98" s="4" t="s">
        <v>8</v>
      </c>
      <c r="F98" s="4" t="s">
        <v>12</v>
      </c>
      <c r="G98" s="4" t="s">
        <v>15</v>
      </c>
      <c r="H98" s="4" t="s">
        <v>30</v>
      </c>
      <c r="I98" s="4"/>
      <c r="J98" s="197"/>
      <c r="K98" s="11"/>
      <c r="L98" s="6" t="s">
        <v>48</v>
      </c>
      <c r="M98" s="6"/>
      <c r="N98" s="133"/>
      <c r="O98" s="156"/>
      <c r="P98" s="156"/>
      <c r="Q98" s="125">
        <v>152000000</v>
      </c>
      <c r="R98" s="5">
        <f>SUM(R99:R101)</f>
        <v>142000000</v>
      </c>
      <c r="S98" s="181"/>
      <c r="T98" s="9"/>
      <c r="U98" s="245"/>
      <c r="V98" s="301"/>
      <c r="W98" s="331"/>
      <c r="X98" s="5"/>
      <c r="Y98" s="5"/>
      <c r="Z98" s="355"/>
      <c r="AA98" s="355"/>
      <c r="AB98" s="355"/>
      <c r="AC98" s="355"/>
      <c r="AD98" s="355"/>
      <c r="AG98" s="273"/>
      <c r="AH98" s="273"/>
    </row>
    <row r="99" spans="2:34" ht="30" customHeight="1" x14ac:dyDescent="0.2">
      <c r="B99" s="677"/>
      <c r="C99" s="678"/>
      <c r="D99" s="678"/>
      <c r="E99" s="678"/>
      <c r="F99" s="678"/>
      <c r="G99" s="678"/>
      <c r="H99" s="678"/>
      <c r="I99" s="678"/>
      <c r="J99" s="678"/>
      <c r="K99" s="177" t="s">
        <v>302</v>
      </c>
      <c r="L99" s="178" t="s">
        <v>172</v>
      </c>
      <c r="M99" s="134">
        <v>44053</v>
      </c>
      <c r="N99" s="134">
        <v>44084</v>
      </c>
      <c r="O99" s="157" t="s">
        <v>294</v>
      </c>
      <c r="P99" s="157" t="s">
        <v>319</v>
      </c>
      <c r="Q99" s="125"/>
      <c r="R99" s="101">
        <v>30000000</v>
      </c>
      <c r="S99" s="182" t="s">
        <v>386</v>
      </c>
      <c r="T99" s="102"/>
      <c r="U99" s="253" t="s">
        <v>181</v>
      </c>
      <c r="V99" s="302"/>
      <c r="W99" s="332"/>
      <c r="X99" s="174"/>
      <c r="Y99" s="174"/>
      <c r="Z99" s="352"/>
      <c r="AA99" s="352">
        <f>+R99-Y99</f>
        <v>30000000</v>
      </c>
      <c r="AB99" s="352">
        <f>+Z99-AA99</f>
        <v>-30000000</v>
      </c>
      <c r="AC99" s="352" t="str">
        <f>IF(Z99=0,"0",IF(Z99&gt;0,Y99-Z99,))</f>
        <v>0</v>
      </c>
      <c r="AD99" s="352">
        <f>+R99-Y99+AB99</f>
        <v>0</v>
      </c>
      <c r="AG99" s="273"/>
      <c r="AH99" s="273"/>
    </row>
    <row r="100" spans="2:34" ht="24.75" customHeight="1" x14ac:dyDescent="0.2">
      <c r="B100" s="682"/>
      <c r="C100" s="683"/>
      <c r="D100" s="683"/>
      <c r="E100" s="683"/>
      <c r="F100" s="683"/>
      <c r="G100" s="683"/>
      <c r="H100" s="683"/>
      <c r="I100" s="683"/>
      <c r="J100" s="683"/>
      <c r="K100" s="99">
        <v>43231500</v>
      </c>
      <c r="L100" s="100" t="s">
        <v>173</v>
      </c>
      <c r="M100" s="134">
        <v>43845</v>
      </c>
      <c r="N100" s="134">
        <v>43876</v>
      </c>
      <c r="O100" s="157" t="s">
        <v>294</v>
      </c>
      <c r="P100" s="157" t="s">
        <v>318</v>
      </c>
      <c r="Q100" s="125"/>
      <c r="R100" s="101">
        <v>22000000</v>
      </c>
      <c r="S100" s="182" t="s">
        <v>386</v>
      </c>
      <c r="T100" s="102"/>
      <c r="U100" s="253" t="s">
        <v>181</v>
      </c>
      <c r="V100" s="302">
        <v>16720</v>
      </c>
      <c r="W100" s="332">
        <v>43888</v>
      </c>
      <c r="X100" s="174">
        <v>22000000</v>
      </c>
      <c r="Y100" s="174">
        <v>22000000</v>
      </c>
      <c r="Z100" s="352">
        <v>15470000</v>
      </c>
      <c r="AA100" s="352">
        <f>+R100-Y100</f>
        <v>0</v>
      </c>
      <c r="AB100" s="352">
        <f>+Z100-AA100</f>
        <v>15470000</v>
      </c>
      <c r="AC100" s="352">
        <f>IF(Z100=0,"0",IF(Z100&gt;0,Y100-Z100,))</f>
        <v>6530000</v>
      </c>
      <c r="AD100" s="352">
        <f>+R100-Y100+AB100</f>
        <v>15470000</v>
      </c>
      <c r="AG100" s="273"/>
      <c r="AH100" s="273"/>
    </row>
    <row r="101" spans="2:34" ht="29.25" customHeight="1" x14ac:dyDescent="0.2">
      <c r="B101" s="682"/>
      <c r="C101" s="683"/>
      <c r="D101" s="683"/>
      <c r="E101" s="683"/>
      <c r="F101" s="683"/>
      <c r="G101" s="683"/>
      <c r="H101" s="683"/>
      <c r="I101" s="683"/>
      <c r="J101" s="683"/>
      <c r="K101" s="99">
        <v>43231500</v>
      </c>
      <c r="L101" s="100" t="s">
        <v>229</v>
      </c>
      <c r="M101" s="134">
        <v>43866</v>
      </c>
      <c r="N101" s="134">
        <v>43895</v>
      </c>
      <c r="O101" s="157" t="s">
        <v>294</v>
      </c>
      <c r="P101" s="157" t="s">
        <v>384</v>
      </c>
      <c r="Q101" s="125"/>
      <c r="R101" s="101">
        <v>90000000</v>
      </c>
      <c r="S101" s="182" t="s">
        <v>386</v>
      </c>
      <c r="T101" s="102"/>
      <c r="U101" s="253" t="s">
        <v>181</v>
      </c>
      <c r="V101" s="302">
        <v>21920</v>
      </c>
      <c r="W101" s="332" t="s">
        <v>435</v>
      </c>
      <c r="X101" s="174">
        <v>90000000</v>
      </c>
      <c r="Y101" s="174">
        <v>90000000</v>
      </c>
      <c r="Z101" s="352">
        <v>58696530.32</v>
      </c>
      <c r="AA101" s="352">
        <f>+R101-Y101</f>
        <v>0</v>
      </c>
      <c r="AB101" s="352">
        <f>+Z101-AA101</f>
        <v>58696530.32</v>
      </c>
      <c r="AC101" s="352">
        <f>IF(Z101=0,"0",IF(Z101&gt;0,Y101-Z101,))</f>
        <v>31303469.68</v>
      </c>
      <c r="AD101" s="352">
        <f>+R101-Y101+AB101</f>
        <v>58696530.32</v>
      </c>
      <c r="AG101" s="273"/>
      <c r="AH101" s="273"/>
    </row>
    <row r="102" spans="2:34" ht="18.2" customHeight="1" x14ac:dyDescent="0.2">
      <c r="B102" s="91" t="s">
        <v>7</v>
      </c>
      <c r="C102" s="92" t="s">
        <v>20</v>
      </c>
      <c r="D102" s="92" t="s">
        <v>20</v>
      </c>
      <c r="E102" s="92" t="s">
        <v>8</v>
      </c>
      <c r="F102" s="92" t="s">
        <v>12</v>
      </c>
      <c r="G102" s="92" t="s">
        <v>16</v>
      </c>
      <c r="H102" s="92"/>
      <c r="I102" s="92"/>
      <c r="J102" s="196"/>
      <c r="K102" s="91"/>
      <c r="L102" s="93" t="s">
        <v>143</v>
      </c>
      <c r="M102" s="93"/>
      <c r="N102" s="132"/>
      <c r="O102" s="155"/>
      <c r="P102" s="155"/>
      <c r="Q102" s="125">
        <f>+Q103+Q106</f>
        <v>18800000</v>
      </c>
      <c r="R102" s="94">
        <f>+R103+R106</f>
        <v>18800000</v>
      </c>
      <c r="S102" s="92"/>
      <c r="T102" s="95"/>
      <c r="U102" s="244"/>
      <c r="V102" s="300"/>
      <c r="W102" s="330"/>
      <c r="X102" s="94"/>
      <c r="Y102" s="94"/>
      <c r="Z102" s="354"/>
      <c r="AA102" s="354"/>
      <c r="AB102" s="354"/>
      <c r="AC102" s="354"/>
      <c r="AD102" s="354"/>
      <c r="AG102" s="273"/>
      <c r="AH102" s="273"/>
    </row>
    <row r="103" spans="2:34" ht="60" customHeight="1" x14ac:dyDescent="0.2">
      <c r="B103" s="11" t="s">
        <v>7</v>
      </c>
      <c r="C103" s="4" t="s">
        <v>20</v>
      </c>
      <c r="D103" s="4" t="s">
        <v>20</v>
      </c>
      <c r="E103" s="4" t="s">
        <v>8</v>
      </c>
      <c r="F103" s="4" t="s">
        <v>12</v>
      </c>
      <c r="G103" s="4" t="s">
        <v>16</v>
      </c>
      <c r="H103" s="4" t="s">
        <v>20</v>
      </c>
      <c r="I103" s="4"/>
      <c r="J103" s="197"/>
      <c r="K103" s="11"/>
      <c r="L103" s="6" t="s">
        <v>141</v>
      </c>
      <c r="M103" s="6"/>
      <c r="N103" s="133"/>
      <c r="O103" s="156"/>
      <c r="P103" s="156"/>
      <c r="Q103" s="125">
        <v>11000000</v>
      </c>
      <c r="R103" s="5">
        <f>SUM(R104:R105)</f>
        <v>11000000</v>
      </c>
      <c r="S103" s="181"/>
      <c r="T103" s="9"/>
      <c r="U103" s="245"/>
      <c r="V103" s="301"/>
      <c r="W103" s="331"/>
      <c r="X103" s="5"/>
      <c r="Y103" s="5"/>
      <c r="Z103" s="355"/>
      <c r="AA103" s="355"/>
      <c r="AB103" s="355"/>
      <c r="AC103" s="355"/>
      <c r="AD103" s="355"/>
      <c r="AG103" s="273"/>
      <c r="AH103" s="273"/>
    </row>
    <row r="104" spans="2:34" ht="15" customHeight="1" x14ac:dyDescent="0.2">
      <c r="B104" s="677"/>
      <c r="C104" s="678"/>
      <c r="D104" s="678"/>
      <c r="E104" s="678"/>
      <c r="F104" s="678"/>
      <c r="G104" s="678"/>
      <c r="H104" s="678"/>
      <c r="I104" s="678"/>
      <c r="J104" s="678"/>
      <c r="K104" s="99">
        <v>81141500</v>
      </c>
      <c r="L104" s="100" t="s">
        <v>259</v>
      </c>
      <c r="M104" s="134">
        <v>43952</v>
      </c>
      <c r="N104" s="134">
        <v>43983</v>
      </c>
      <c r="O104" s="157" t="s">
        <v>294</v>
      </c>
      <c r="P104" s="157" t="s">
        <v>318</v>
      </c>
      <c r="Q104" s="125"/>
      <c r="R104" s="101">
        <v>4000000</v>
      </c>
      <c r="S104" s="182" t="s">
        <v>386</v>
      </c>
      <c r="T104" s="102"/>
      <c r="U104" s="253" t="s">
        <v>268</v>
      </c>
      <c r="V104" s="302"/>
      <c r="W104" s="332"/>
      <c r="X104" s="174"/>
      <c r="Y104" s="174"/>
      <c r="Z104" s="352"/>
      <c r="AA104" s="352">
        <f>+R104-Y104</f>
        <v>4000000</v>
      </c>
      <c r="AB104" s="352">
        <f>+Z104-AA104</f>
        <v>-4000000</v>
      </c>
      <c r="AC104" s="352" t="str">
        <f>IF(Z104=0,"0",IF(Z104&gt;0,Y104-Z104,))</f>
        <v>0</v>
      </c>
      <c r="AD104" s="352">
        <f>+R104-Y104+AB104</f>
        <v>0</v>
      </c>
      <c r="AG104" s="273"/>
      <c r="AH104" s="273"/>
    </row>
    <row r="105" spans="2:34" ht="16.5" customHeight="1" x14ac:dyDescent="0.2">
      <c r="B105" s="682"/>
      <c r="C105" s="683"/>
      <c r="D105" s="683"/>
      <c r="E105" s="683"/>
      <c r="F105" s="683"/>
      <c r="G105" s="683"/>
      <c r="H105" s="683"/>
      <c r="I105" s="683"/>
      <c r="J105" s="683"/>
      <c r="K105" s="99">
        <v>81141500</v>
      </c>
      <c r="L105" s="100" t="s">
        <v>387</v>
      </c>
      <c r="M105" s="134">
        <v>43952</v>
      </c>
      <c r="N105" s="134">
        <v>43983</v>
      </c>
      <c r="O105" s="157" t="s">
        <v>294</v>
      </c>
      <c r="P105" s="157" t="s">
        <v>318</v>
      </c>
      <c r="Q105" s="125"/>
      <c r="R105" s="101">
        <v>7000000</v>
      </c>
      <c r="S105" s="182" t="s">
        <v>386</v>
      </c>
      <c r="T105" s="102"/>
      <c r="U105" s="253" t="s">
        <v>269</v>
      </c>
      <c r="V105" s="302"/>
      <c r="W105" s="332"/>
      <c r="X105" s="174"/>
      <c r="Y105" s="174"/>
      <c r="Z105" s="352"/>
      <c r="AA105" s="352">
        <f>+R105-Y105</f>
        <v>7000000</v>
      </c>
      <c r="AB105" s="352">
        <f>+Z105-AA105</f>
        <v>-7000000</v>
      </c>
      <c r="AC105" s="352" t="str">
        <f>IF(Z105=0,"0",IF(Z105&gt;0,Y105-Z105,))</f>
        <v>0</v>
      </c>
      <c r="AD105" s="352">
        <f>+R105-Y105+AB105</f>
        <v>0</v>
      </c>
      <c r="AG105" s="273"/>
      <c r="AH105" s="273"/>
    </row>
    <row r="106" spans="2:34" ht="18.2" customHeight="1" x14ac:dyDescent="0.2">
      <c r="B106" s="11" t="s">
        <v>7</v>
      </c>
      <c r="C106" s="4" t="s">
        <v>20</v>
      </c>
      <c r="D106" s="4" t="s">
        <v>20</v>
      </c>
      <c r="E106" s="4" t="s">
        <v>8</v>
      </c>
      <c r="F106" s="4" t="s">
        <v>12</v>
      </c>
      <c r="G106" s="4" t="s">
        <v>16</v>
      </c>
      <c r="H106" s="4" t="s">
        <v>23</v>
      </c>
      <c r="I106" s="4"/>
      <c r="J106" s="197"/>
      <c r="K106" s="11"/>
      <c r="L106" s="6" t="s">
        <v>142</v>
      </c>
      <c r="M106" s="6"/>
      <c r="N106" s="133"/>
      <c r="O106" s="156"/>
      <c r="P106" s="156"/>
      <c r="Q106" s="125">
        <v>7800000</v>
      </c>
      <c r="R106" s="5">
        <f>SUM(R107:R107)</f>
        <v>7800000</v>
      </c>
      <c r="S106" s="181"/>
      <c r="T106" s="9"/>
      <c r="U106" s="245"/>
      <c r="V106" s="301"/>
      <c r="W106" s="331"/>
      <c r="X106" s="5"/>
      <c r="Y106" s="5"/>
      <c r="Z106" s="355"/>
      <c r="AA106" s="355"/>
      <c r="AB106" s="355"/>
      <c r="AC106" s="355"/>
      <c r="AD106" s="355"/>
      <c r="AG106" s="273"/>
      <c r="AH106" s="273"/>
    </row>
    <row r="107" spans="2:34" ht="15.6" customHeight="1" x14ac:dyDescent="0.2">
      <c r="B107" s="677"/>
      <c r="C107" s="678"/>
      <c r="D107" s="678"/>
      <c r="E107" s="678"/>
      <c r="F107" s="678"/>
      <c r="G107" s="678"/>
      <c r="H107" s="678"/>
      <c r="I107" s="678"/>
      <c r="J107" s="678"/>
      <c r="K107" s="99"/>
      <c r="L107" s="124" t="s">
        <v>280</v>
      </c>
      <c r="M107" s="134">
        <v>43922</v>
      </c>
      <c r="N107" s="134">
        <v>43954</v>
      </c>
      <c r="O107" s="157" t="s">
        <v>307</v>
      </c>
      <c r="P107" s="157" t="s">
        <v>319</v>
      </c>
      <c r="Q107" s="125"/>
      <c r="R107" s="101">
        <v>7800000</v>
      </c>
      <c r="S107" s="182" t="s">
        <v>386</v>
      </c>
      <c r="T107" s="102"/>
      <c r="U107" s="253" t="s">
        <v>194</v>
      </c>
      <c r="V107" s="302">
        <v>14620</v>
      </c>
      <c r="W107" s="332">
        <v>43882</v>
      </c>
      <c r="X107" s="174">
        <v>7800000</v>
      </c>
      <c r="Y107" s="174">
        <v>7800000</v>
      </c>
      <c r="Z107" s="352">
        <v>0</v>
      </c>
      <c r="AA107" s="352">
        <f>+R107-Y107</f>
        <v>0</v>
      </c>
      <c r="AB107" s="352">
        <f>+Z107-AA107</f>
        <v>0</v>
      </c>
      <c r="AC107" s="352" t="str">
        <f>IF(Z107=0,"0",IF(Z107&gt;0,Y107-Z107,))</f>
        <v>0</v>
      </c>
      <c r="AD107" s="352">
        <f>+R107-Y107+AB107</f>
        <v>0</v>
      </c>
      <c r="AG107" s="273"/>
      <c r="AH107" s="273"/>
    </row>
    <row r="108" spans="2:34" ht="15" customHeight="1" x14ac:dyDescent="0.2">
      <c r="B108" s="41" t="s">
        <v>7</v>
      </c>
      <c r="C108" s="42" t="s">
        <v>20</v>
      </c>
      <c r="D108" s="42" t="s">
        <v>20</v>
      </c>
      <c r="E108" s="42" t="s">
        <v>20</v>
      </c>
      <c r="F108" s="42"/>
      <c r="G108" s="42"/>
      <c r="H108" s="42"/>
      <c r="I108" s="42"/>
      <c r="J108" s="194"/>
      <c r="K108" s="41"/>
      <c r="L108" s="43" t="s">
        <v>75</v>
      </c>
      <c r="M108" s="43"/>
      <c r="N108" s="130"/>
      <c r="O108" s="153"/>
      <c r="P108" s="153"/>
      <c r="Q108" s="125">
        <f>+Q109+Q113+Q127+Q133+Q191+Q210</f>
        <v>3926100000</v>
      </c>
      <c r="R108" s="44">
        <f>+R109+R113+R127+R133+R191+R210</f>
        <v>3876753000</v>
      </c>
      <c r="S108" s="180"/>
      <c r="T108" s="45"/>
      <c r="U108" s="251"/>
      <c r="V108" s="298"/>
      <c r="W108" s="328"/>
      <c r="X108" s="44"/>
      <c r="Y108" s="44"/>
      <c r="Z108" s="357"/>
      <c r="AA108" s="357"/>
      <c r="AB108" s="357"/>
      <c r="AC108" s="357"/>
      <c r="AD108" s="357"/>
      <c r="AG108" s="273"/>
      <c r="AH108" s="273"/>
    </row>
    <row r="109" spans="2:34" ht="15" customHeight="1" x14ac:dyDescent="0.2">
      <c r="B109" s="13" t="s">
        <v>7</v>
      </c>
      <c r="C109" s="14" t="s">
        <v>20</v>
      </c>
      <c r="D109" s="14" t="s">
        <v>20</v>
      </c>
      <c r="E109" s="14" t="s">
        <v>20</v>
      </c>
      <c r="F109" s="14" t="s">
        <v>13</v>
      </c>
      <c r="G109" s="14"/>
      <c r="H109" s="14"/>
      <c r="I109" s="14"/>
      <c r="J109" s="195"/>
      <c r="K109" s="13"/>
      <c r="L109" s="15" t="s">
        <v>76</v>
      </c>
      <c r="M109" s="15"/>
      <c r="N109" s="131"/>
      <c r="O109" s="154"/>
      <c r="P109" s="154"/>
      <c r="Q109" s="125">
        <f>+Q110</f>
        <v>90000000</v>
      </c>
      <c r="R109" s="16">
        <f>+R110</f>
        <v>91000000</v>
      </c>
      <c r="S109" s="14"/>
      <c r="T109" s="17"/>
      <c r="U109" s="252"/>
      <c r="V109" s="299"/>
      <c r="W109" s="329"/>
      <c r="X109" s="16"/>
      <c r="Y109" s="16"/>
      <c r="Z109" s="353"/>
      <c r="AA109" s="353"/>
      <c r="AB109" s="353"/>
      <c r="AC109" s="353"/>
      <c r="AD109" s="353"/>
      <c r="AG109" s="273"/>
      <c r="AH109" s="273"/>
    </row>
    <row r="110" spans="2:34" ht="15" customHeight="1" x14ac:dyDescent="0.2">
      <c r="B110" s="91" t="s">
        <v>7</v>
      </c>
      <c r="C110" s="92" t="s">
        <v>20</v>
      </c>
      <c r="D110" s="92" t="s">
        <v>20</v>
      </c>
      <c r="E110" s="92" t="s">
        <v>20</v>
      </c>
      <c r="F110" s="92" t="s">
        <v>13</v>
      </c>
      <c r="G110" s="92" t="s">
        <v>12</v>
      </c>
      <c r="H110" s="92"/>
      <c r="I110" s="92"/>
      <c r="J110" s="196"/>
      <c r="K110" s="91"/>
      <c r="L110" s="93" t="s">
        <v>77</v>
      </c>
      <c r="M110" s="93"/>
      <c r="N110" s="132"/>
      <c r="O110" s="155"/>
      <c r="P110" s="155"/>
      <c r="Q110" s="125">
        <f>+Q111</f>
        <v>90000000</v>
      </c>
      <c r="R110" s="94">
        <f>+R111</f>
        <v>91000000</v>
      </c>
      <c r="S110" s="92"/>
      <c r="T110" s="95"/>
      <c r="U110" s="244"/>
      <c r="V110" s="300"/>
      <c r="W110" s="330"/>
      <c r="X110" s="94"/>
      <c r="Y110" s="94"/>
      <c r="Z110" s="354"/>
      <c r="AA110" s="354"/>
      <c r="AB110" s="354"/>
      <c r="AC110" s="354"/>
      <c r="AD110" s="354"/>
      <c r="AG110" s="273"/>
      <c r="AH110" s="273"/>
    </row>
    <row r="111" spans="2:34" ht="15" customHeight="1" x14ac:dyDescent="0.2">
      <c r="B111" s="11" t="s">
        <v>7</v>
      </c>
      <c r="C111" s="4" t="s">
        <v>20</v>
      </c>
      <c r="D111" s="4" t="s">
        <v>20</v>
      </c>
      <c r="E111" s="4" t="s">
        <v>20</v>
      </c>
      <c r="F111" s="4" t="s">
        <v>13</v>
      </c>
      <c r="G111" s="4" t="s">
        <v>12</v>
      </c>
      <c r="H111" s="4" t="s">
        <v>28</v>
      </c>
      <c r="I111" s="4"/>
      <c r="J111" s="197"/>
      <c r="K111" s="11"/>
      <c r="L111" s="6" t="s">
        <v>79</v>
      </c>
      <c r="M111" s="6"/>
      <c r="N111" s="133"/>
      <c r="O111" s="156"/>
      <c r="P111" s="156"/>
      <c r="Q111" s="125">
        <v>90000000</v>
      </c>
      <c r="R111" s="5">
        <f>SUM(R112:R112)</f>
        <v>91000000</v>
      </c>
      <c r="S111" s="181"/>
      <c r="T111" s="9"/>
      <c r="U111" s="245"/>
      <c r="V111" s="301"/>
      <c r="W111" s="331"/>
      <c r="X111" s="5"/>
      <c r="Y111" s="5"/>
      <c r="Z111" s="355"/>
      <c r="AA111" s="355"/>
      <c r="AB111" s="355"/>
      <c r="AC111" s="355"/>
      <c r="AD111" s="355"/>
      <c r="AG111" s="273"/>
      <c r="AH111" s="273"/>
    </row>
    <row r="112" spans="2:34" ht="30" customHeight="1" x14ac:dyDescent="0.2">
      <c r="B112" s="677"/>
      <c r="C112" s="678"/>
      <c r="D112" s="678"/>
      <c r="E112" s="678"/>
      <c r="F112" s="678"/>
      <c r="G112" s="678"/>
      <c r="H112" s="678"/>
      <c r="I112" s="678"/>
      <c r="J112" s="678"/>
      <c r="K112" s="99"/>
      <c r="L112" s="100" t="s">
        <v>195</v>
      </c>
      <c r="M112" s="134">
        <v>43922</v>
      </c>
      <c r="N112" s="134">
        <v>43955</v>
      </c>
      <c r="O112" s="157" t="s">
        <v>307</v>
      </c>
      <c r="P112" s="157" t="s">
        <v>319</v>
      </c>
      <c r="Q112" s="125"/>
      <c r="R112" s="101">
        <v>91000000</v>
      </c>
      <c r="S112" s="182" t="s">
        <v>386</v>
      </c>
      <c r="T112" s="102"/>
      <c r="U112" s="253" t="s">
        <v>194</v>
      </c>
      <c r="V112" s="302"/>
      <c r="W112" s="332"/>
      <c r="X112" s="174"/>
      <c r="Y112" s="174"/>
      <c r="Z112" s="352"/>
      <c r="AA112" s="352">
        <f>+R112-Y112</f>
        <v>91000000</v>
      </c>
      <c r="AB112" s="352">
        <f>+Z112-AA112</f>
        <v>-91000000</v>
      </c>
      <c r="AC112" s="352" t="str">
        <f>IF(Z112=0,"0",IF(Z112&gt;0,Y112-Z112,))</f>
        <v>0</v>
      </c>
      <c r="AD112" s="352">
        <f>+R112-Y112+AB112</f>
        <v>0</v>
      </c>
      <c r="AG112" s="273"/>
      <c r="AH112" s="273"/>
    </row>
    <row r="113" spans="2:34" ht="45" customHeight="1" x14ac:dyDescent="0.2">
      <c r="B113" s="13" t="s">
        <v>7</v>
      </c>
      <c r="C113" s="14" t="s">
        <v>20</v>
      </c>
      <c r="D113" s="14" t="s">
        <v>20</v>
      </c>
      <c r="E113" s="14" t="s">
        <v>20</v>
      </c>
      <c r="F113" s="14" t="s">
        <v>14</v>
      </c>
      <c r="G113" s="14"/>
      <c r="H113" s="14"/>
      <c r="I113" s="14"/>
      <c r="J113" s="195"/>
      <c r="K113" s="13"/>
      <c r="L113" s="15" t="s">
        <v>81</v>
      </c>
      <c r="M113" s="15"/>
      <c r="N113" s="131"/>
      <c r="O113" s="154"/>
      <c r="P113" s="154"/>
      <c r="Q113" s="125">
        <f>+Q114+Q118+Q121</f>
        <v>352000000</v>
      </c>
      <c r="R113" s="16">
        <f>+R114+R118+R121</f>
        <v>250040000</v>
      </c>
      <c r="S113" s="14"/>
      <c r="T113" s="17"/>
      <c r="U113" s="252"/>
      <c r="V113" s="299"/>
      <c r="W113" s="329"/>
      <c r="X113" s="16"/>
      <c r="Y113" s="16"/>
      <c r="Z113" s="353"/>
      <c r="AA113" s="353"/>
      <c r="AB113" s="353"/>
      <c r="AC113" s="353"/>
      <c r="AD113" s="353"/>
      <c r="AG113" s="273"/>
      <c r="AH113" s="273"/>
    </row>
    <row r="114" spans="2:34" ht="15" customHeight="1" x14ac:dyDescent="0.2">
      <c r="B114" s="91" t="s">
        <v>7</v>
      </c>
      <c r="C114" s="92" t="s">
        <v>20</v>
      </c>
      <c r="D114" s="92" t="s">
        <v>20</v>
      </c>
      <c r="E114" s="92" t="s">
        <v>20</v>
      </c>
      <c r="F114" s="92" t="s">
        <v>14</v>
      </c>
      <c r="G114" s="92" t="s">
        <v>12</v>
      </c>
      <c r="H114" s="92"/>
      <c r="I114" s="92"/>
      <c r="J114" s="196"/>
      <c r="K114" s="91"/>
      <c r="L114" s="93" t="s">
        <v>82</v>
      </c>
      <c r="M114" s="93"/>
      <c r="N114" s="132"/>
      <c r="O114" s="155"/>
      <c r="P114" s="155"/>
      <c r="Q114" s="125">
        <v>69000000</v>
      </c>
      <c r="R114" s="94">
        <f>SUM(R115:R117)</f>
        <v>69000000</v>
      </c>
      <c r="S114" s="92"/>
      <c r="T114" s="95"/>
      <c r="U114" s="244"/>
      <c r="V114" s="300"/>
      <c r="W114" s="330"/>
      <c r="X114" s="94"/>
      <c r="Y114" s="94"/>
      <c r="Z114" s="354"/>
      <c r="AA114" s="354"/>
      <c r="AB114" s="354"/>
      <c r="AC114" s="354"/>
      <c r="AD114" s="354"/>
      <c r="AG114" s="273"/>
      <c r="AH114" s="273"/>
    </row>
    <row r="115" spans="2:34" ht="60" customHeight="1" x14ac:dyDescent="0.2">
      <c r="B115" s="677"/>
      <c r="C115" s="678"/>
      <c r="D115" s="678"/>
      <c r="E115" s="678"/>
      <c r="F115" s="678"/>
      <c r="G115" s="678"/>
      <c r="H115" s="678"/>
      <c r="I115" s="678"/>
      <c r="J115" s="678"/>
      <c r="K115" s="177" t="s">
        <v>383</v>
      </c>
      <c r="L115" s="178" t="s">
        <v>245</v>
      </c>
      <c r="M115" s="134">
        <v>43901</v>
      </c>
      <c r="N115" s="134">
        <v>43920</v>
      </c>
      <c r="O115" s="157" t="s">
        <v>324</v>
      </c>
      <c r="P115" s="157" t="s">
        <v>382</v>
      </c>
      <c r="Q115" s="101"/>
      <c r="R115" s="101">
        <v>50000000</v>
      </c>
      <c r="S115" s="182" t="s">
        <v>386</v>
      </c>
      <c r="T115" s="102"/>
      <c r="U115" s="253" t="s">
        <v>270</v>
      </c>
      <c r="V115" s="302"/>
      <c r="W115" s="332"/>
      <c r="X115" s="174"/>
      <c r="Y115" s="174"/>
      <c r="Z115" s="352"/>
      <c r="AA115" s="352">
        <f>+R115-Y115</f>
        <v>50000000</v>
      </c>
      <c r="AB115" s="352">
        <f>+Z115-AA115</f>
        <v>-50000000</v>
      </c>
      <c r="AC115" s="352" t="str">
        <f>IF(Z115=0,"0",IF(Z115&gt;0,Y115-Z115,))</f>
        <v>0</v>
      </c>
      <c r="AD115" s="352">
        <f>+R115-Y115+AB115</f>
        <v>0</v>
      </c>
      <c r="AG115" s="273"/>
      <c r="AH115" s="273"/>
    </row>
    <row r="116" spans="2:34" ht="60" customHeight="1" x14ac:dyDescent="0.2">
      <c r="B116" s="682"/>
      <c r="C116" s="683"/>
      <c r="D116" s="683"/>
      <c r="E116" s="683"/>
      <c r="F116" s="683"/>
      <c r="G116" s="683"/>
      <c r="H116" s="683"/>
      <c r="I116" s="683"/>
      <c r="J116" s="683"/>
      <c r="K116" s="177" t="s">
        <v>383</v>
      </c>
      <c r="L116" s="178" t="s">
        <v>246</v>
      </c>
      <c r="M116" s="134">
        <v>43901</v>
      </c>
      <c r="N116" s="134">
        <v>43920</v>
      </c>
      <c r="O116" s="157" t="s">
        <v>324</v>
      </c>
      <c r="P116" s="157" t="s">
        <v>318</v>
      </c>
      <c r="Q116" s="101"/>
      <c r="R116" s="101">
        <v>12000000</v>
      </c>
      <c r="S116" s="182" t="s">
        <v>386</v>
      </c>
      <c r="T116" s="102"/>
      <c r="U116" s="253" t="s">
        <v>270</v>
      </c>
      <c r="V116" s="302">
        <v>19620</v>
      </c>
      <c r="W116" s="332">
        <v>43902</v>
      </c>
      <c r="X116" s="174">
        <v>12000000</v>
      </c>
      <c r="Y116" s="174">
        <v>12000000</v>
      </c>
      <c r="Z116" s="352">
        <v>0</v>
      </c>
      <c r="AA116" s="352">
        <f>+R116-Y116</f>
        <v>0</v>
      </c>
      <c r="AB116" s="352">
        <f>+Z116-AA116</f>
        <v>0</v>
      </c>
      <c r="AC116" s="352" t="str">
        <f>IF(Z116=0,"0",IF(Z116&gt;0,Y116-Z116,))</f>
        <v>0</v>
      </c>
      <c r="AD116" s="352">
        <f>+R116-Y116+AB116</f>
        <v>0</v>
      </c>
      <c r="AG116" s="273"/>
      <c r="AH116" s="273"/>
    </row>
    <row r="117" spans="2:34" ht="75" customHeight="1" x14ac:dyDescent="0.2">
      <c r="B117" s="682"/>
      <c r="C117" s="683"/>
      <c r="D117" s="683"/>
      <c r="E117" s="683"/>
      <c r="F117" s="683"/>
      <c r="G117" s="683"/>
      <c r="H117" s="683"/>
      <c r="I117" s="683"/>
      <c r="J117" s="683"/>
      <c r="K117" s="113"/>
      <c r="L117" s="114" t="s">
        <v>248</v>
      </c>
      <c r="M117" s="114"/>
      <c r="N117" s="137"/>
      <c r="O117" s="160"/>
      <c r="P117" s="160"/>
      <c r="Q117" s="125"/>
      <c r="R117" s="115">
        <v>7000000</v>
      </c>
      <c r="S117" s="187"/>
      <c r="T117" s="116"/>
      <c r="U117" s="256"/>
      <c r="V117" s="302" t="s">
        <v>436</v>
      </c>
      <c r="W117" s="332" t="s">
        <v>437</v>
      </c>
      <c r="X117" s="174">
        <f>640000+640000+490052+123141+39758</f>
        <v>1932951</v>
      </c>
      <c r="Y117" s="174">
        <f>640000+640000+490052+123141+39758</f>
        <v>1932951</v>
      </c>
      <c r="Z117" s="352"/>
      <c r="AA117" s="352">
        <f>+R117-Y117</f>
        <v>5067049</v>
      </c>
      <c r="AB117" s="352">
        <f>+Z117-AA117</f>
        <v>-5067049</v>
      </c>
      <c r="AC117" s="352" t="str">
        <f>IF(Z117=0,"0",IF(Z117&gt;0,Y117-Z117,))</f>
        <v>0</v>
      </c>
      <c r="AD117" s="352">
        <f>+R117-Y117+AB117</f>
        <v>0</v>
      </c>
      <c r="AG117" s="273"/>
      <c r="AH117" s="273"/>
    </row>
    <row r="118" spans="2:34" ht="15" customHeight="1" x14ac:dyDescent="0.2">
      <c r="B118" s="91" t="s">
        <v>7</v>
      </c>
      <c r="C118" s="92" t="s">
        <v>20</v>
      </c>
      <c r="D118" s="92" t="s">
        <v>20</v>
      </c>
      <c r="E118" s="92" t="s">
        <v>20</v>
      </c>
      <c r="F118" s="92" t="s">
        <v>14</v>
      </c>
      <c r="G118" s="92" t="s">
        <v>16</v>
      </c>
      <c r="H118" s="92"/>
      <c r="I118" s="92"/>
      <c r="J118" s="196"/>
      <c r="K118" s="91"/>
      <c r="L118" s="93" t="s">
        <v>83</v>
      </c>
      <c r="M118" s="93"/>
      <c r="N118" s="132"/>
      <c r="O118" s="155"/>
      <c r="P118" s="155"/>
      <c r="Q118" s="125">
        <v>13000000</v>
      </c>
      <c r="R118" s="94">
        <f>SUM(R119:R120)</f>
        <v>13000000</v>
      </c>
      <c r="S118" s="92"/>
      <c r="T118" s="95"/>
      <c r="U118" s="244"/>
      <c r="V118" s="300"/>
      <c r="W118" s="330"/>
      <c r="X118" s="94"/>
      <c r="Y118" s="94"/>
      <c r="Z118" s="354"/>
      <c r="AA118" s="354"/>
      <c r="AB118" s="354"/>
      <c r="AC118" s="354"/>
      <c r="AD118" s="354"/>
      <c r="AG118" s="273"/>
      <c r="AH118" s="273"/>
    </row>
    <row r="119" spans="2:34" ht="15" customHeight="1" x14ac:dyDescent="0.2">
      <c r="B119" s="677"/>
      <c r="C119" s="678"/>
      <c r="D119" s="678"/>
      <c r="E119" s="678"/>
      <c r="F119" s="678"/>
      <c r="G119" s="678"/>
      <c r="H119" s="678"/>
      <c r="I119" s="678"/>
      <c r="J119" s="678"/>
      <c r="K119" s="99">
        <v>83111600</v>
      </c>
      <c r="L119" s="100" t="s">
        <v>247</v>
      </c>
      <c r="M119" s="134">
        <v>43475</v>
      </c>
      <c r="N119" s="134">
        <v>43871</v>
      </c>
      <c r="O119" s="157" t="s">
        <v>324</v>
      </c>
      <c r="P119" s="157" t="s">
        <v>318</v>
      </c>
      <c r="Q119" s="125"/>
      <c r="R119" s="101">
        <v>10000000</v>
      </c>
      <c r="S119" s="182" t="s">
        <v>386</v>
      </c>
      <c r="T119" s="102"/>
      <c r="U119" s="253" t="s">
        <v>271</v>
      </c>
      <c r="V119" s="302">
        <v>4120</v>
      </c>
      <c r="W119" s="332">
        <v>43844</v>
      </c>
      <c r="X119" s="174">
        <v>10000000</v>
      </c>
      <c r="Y119" s="174">
        <v>10000000</v>
      </c>
      <c r="Z119" s="352">
        <v>10000000</v>
      </c>
      <c r="AA119" s="352">
        <f>+R119-Y119</f>
        <v>0</v>
      </c>
      <c r="AB119" s="352">
        <f>+Z119-AA119</f>
        <v>10000000</v>
      </c>
      <c r="AC119" s="352">
        <f>IF(Z119=0,"0",IF(Z119&gt;0,Y119-Z119,))</f>
        <v>0</v>
      </c>
      <c r="AD119" s="352">
        <f>+R119-Y119+AB119</f>
        <v>10000000</v>
      </c>
      <c r="AG119" s="273"/>
      <c r="AH119" s="273"/>
    </row>
    <row r="120" spans="2:34" ht="75" customHeight="1" x14ac:dyDescent="0.2">
      <c r="B120" s="682"/>
      <c r="C120" s="683"/>
      <c r="D120" s="683"/>
      <c r="E120" s="683"/>
      <c r="F120" s="683"/>
      <c r="G120" s="683"/>
      <c r="H120" s="683"/>
      <c r="I120" s="683"/>
      <c r="J120" s="683"/>
      <c r="K120" s="113"/>
      <c r="L120" s="114" t="s">
        <v>249</v>
      </c>
      <c r="M120" s="114"/>
      <c r="N120" s="137"/>
      <c r="O120" s="160"/>
      <c r="P120" s="160"/>
      <c r="Q120" s="125"/>
      <c r="R120" s="115">
        <v>3000000</v>
      </c>
      <c r="S120" s="187"/>
      <c r="T120" s="116"/>
      <c r="U120" s="256"/>
      <c r="V120" s="302" t="s">
        <v>438</v>
      </c>
      <c r="W120" s="332" t="s">
        <v>439</v>
      </c>
      <c r="X120" s="174">
        <f>300000+300000+9036+12751+10040</f>
        <v>631827</v>
      </c>
      <c r="Y120" s="174"/>
      <c r="Z120" s="352"/>
      <c r="AA120" s="352">
        <f>+R120-Y120</f>
        <v>3000000</v>
      </c>
      <c r="AB120" s="352">
        <f>+Z120-AA120</f>
        <v>-3000000</v>
      </c>
      <c r="AC120" s="352" t="str">
        <f>IF(Z120=0,"0",IF(Z120&gt;0,Y120-Z120,))</f>
        <v>0</v>
      </c>
      <c r="AD120" s="352">
        <f>+R120-Y120+AB120</f>
        <v>0</v>
      </c>
      <c r="AG120" s="273"/>
      <c r="AH120" s="273"/>
    </row>
    <row r="121" spans="2:34" ht="30" customHeight="1" x14ac:dyDescent="0.2">
      <c r="B121" s="91" t="s">
        <v>7</v>
      </c>
      <c r="C121" s="92" t="s">
        <v>20</v>
      </c>
      <c r="D121" s="92" t="s">
        <v>20</v>
      </c>
      <c r="E121" s="92" t="s">
        <v>20</v>
      </c>
      <c r="F121" s="92" t="s">
        <v>14</v>
      </c>
      <c r="G121" s="92" t="s">
        <v>17</v>
      </c>
      <c r="H121" s="92"/>
      <c r="I121" s="92"/>
      <c r="J121" s="196"/>
      <c r="K121" s="91"/>
      <c r="L121" s="93" t="s">
        <v>84</v>
      </c>
      <c r="M121" s="93"/>
      <c r="N121" s="132"/>
      <c r="O121" s="155"/>
      <c r="P121" s="155"/>
      <c r="Q121" s="125">
        <f>SUM(Q122:Q122)</f>
        <v>270000000</v>
      </c>
      <c r="R121" s="94">
        <f>SUM(R122:R122)</f>
        <v>168040000</v>
      </c>
      <c r="S121" s="92"/>
      <c r="T121" s="95"/>
      <c r="U121" s="244"/>
      <c r="V121" s="300"/>
      <c r="W121" s="330"/>
      <c r="X121" s="94"/>
      <c r="Y121" s="94"/>
      <c r="Z121" s="354"/>
      <c r="AA121" s="354"/>
      <c r="AB121" s="354"/>
      <c r="AC121" s="354"/>
      <c r="AD121" s="354"/>
      <c r="AG121" s="273"/>
      <c r="AH121" s="273"/>
    </row>
    <row r="122" spans="2:34" ht="30" customHeight="1" x14ac:dyDescent="0.2">
      <c r="B122" s="11" t="s">
        <v>7</v>
      </c>
      <c r="C122" s="4" t="s">
        <v>20</v>
      </c>
      <c r="D122" s="4" t="s">
        <v>20</v>
      </c>
      <c r="E122" s="4" t="s">
        <v>20</v>
      </c>
      <c r="F122" s="4" t="s">
        <v>14</v>
      </c>
      <c r="G122" s="4" t="s">
        <v>17</v>
      </c>
      <c r="H122" s="4" t="s">
        <v>8</v>
      </c>
      <c r="I122" s="4"/>
      <c r="J122" s="197"/>
      <c r="K122" s="11"/>
      <c r="L122" s="6" t="s">
        <v>85</v>
      </c>
      <c r="M122" s="6"/>
      <c r="N122" s="133"/>
      <c r="O122" s="156"/>
      <c r="P122" s="156"/>
      <c r="Q122" s="125">
        <v>270000000</v>
      </c>
      <c r="R122" s="5">
        <f>SUM(R123:R124)</f>
        <v>168040000</v>
      </c>
      <c r="S122" s="181"/>
      <c r="T122" s="9"/>
      <c r="U122" s="245"/>
      <c r="V122" s="301"/>
      <c r="W122" s="331"/>
      <c r="X122" s="5"/>
      <c r="Y122" s="5"/>
      <c r="Z122" s="355"/>
      <c r="AA122" s="355"/>
      <c r="AB122" s="355"/>
      <c r="AC122" s="355"/>
      <c r="AD122" s="355"/>
      <c r="AG122" s="273"/>
      <c r="AH122" s="273"/>
    </row>
    <row r="123" spans="2:34" ht="37.5" customHeight="1" x14ac:dyDescent="0.2">
      <c r="B123" s="677"/>
      <c r="C123" s="678"/>
      <c r="D123" s="678"/>
      <c r="E123" s="678"/>
      <c r="F123" s="678"/>
      <c r="G123" s="678"/>
      <c r="H123" s="678"/>
      <c r="I123" s="678"/>
      <c r="J123" s="678"/>
      <c r="K123" s="99">
        <v>83101800</v>
      </c>
      <c r="L123" s="178" t="s">
        <v>250</v>
      </c>
      <c r="M123" s="134" t="s">
        <v>375</v>
      </c>
      <c r="N123" s="134">
        <v>43832</v>
      </c>
      <c r="O123" s="157" t="s">
        <v>301</v>
      </c>
      <c r="P123" s="134" t="s">
        <v>375</v>
      </c>
      <c r="Q123" s="125"/>
      <c r="R123" s="101">
        <f>208000000-87400000</f>
        <v>120600000</v>
      </c>
      <c r="S123" s="182" t="s">
        <v>386</v>
      </c>
      <c r="T123" s="102"/>
      <c r="U123" s="253" t="s">
        <v>271</v>
      </c>
      <c r="V123" s="302" t="s">
        <v>441</v>
      </c>
      <c r="W123" s="332"/>
      <c r="X123" s="174">
        <v>99440878</v>
      </c>
      <c r="Y123" s="174">
        <v>99440878</v>
      </c>
      <c r="Z123" s="352">
        <v>99440878</v>
      </c>
      <c r="AA123" s="352">
        <f>+R123-Y123</f>
        <v>21159122</v>
      </c>
      <c r="AB123" s="352">
        <f>+Z123-AA123</f>
        <v>78281756</v>
      </c>
      <c r="AC123" s="352">
        <f>IF(Z123=0,"0",IF(Z123&gt;0,Y123-Z123,))</f>
        <v>0</v>
      </c>
      <c r="AD123" s="352">
        <f>+R123-Y123+AB123</f>
        <v>99440878</v>
      </c>
      <c r="AG123" s="273"/>
      <c r="AH123" s="273"/>
    </row>
    <row r="124" spans="2:34" ht="37.5" customHeight="1" x14ac:dyDescent="0.2">
      <c r="B124" s="682"/>
      <c r="C124" s="683"/>
      <c r="D124" s="683"/>
      <c r="E124" s="683"/>
      <c r="F124" s="683"/>
      <c r="G124" s="683"/>
      <c r="H124" s="683"/>
      <c r="I124" s="683"/>
      <c r="J124" s="683"/>
      <c r="K124" s="99">
        <v>83101600</v>
      </c>
      <c r="L124" s="178" t="s">
        <v>251</v>
      </c>
      <c r="M124" s="134" t="s">
        <v>375</v>
      </c>
      <c r="N124" s="134">
        <v>43832</v>
      </c>
      <c r="O124" s="157" t="s">
        <v>301</v>
      </c>
      <c r="P124" s="134" t="s">
        <v>375</v>
      </c>
      <c r="Q124" s="125"/>
      <c r="R124" s="101">
        <f>62000000-14560000</f>
        <v>47440000</v>
      </c>
      <c r="S124" s="182" t="s">
        <v>386</v>
      </c>
      <c r="T124" s="102"/>
      <c r="U124" s="253" t="s">
        <v>271</v>
      </c>
      <c r="V124" s="302" t="s">
        <v>440</v>
      </c>
      <c r="W124" s="332"/>
      <c r="X124" s="174">
        <v>34931678</v>
      </c>
      <c r="Y124" s="174">
        <v>34931678</v>
      </c>
      <c r="Z124" s="352">
        <v>34931678</v>
      </c>
      <c r="AA124" s="352">
        <f>+R124-Y124</f>
        <v>12508322</v>
      </c>
      <c r="AB124" s="352">
        <f>+Z124-AA124</f>
        <v>22423356</v>
      </c>
      <c r="AC124" s="352">
        <f>IF(Z124=0,"0",IF(Z124&gt;0,Y124-Z124,))</f>
        <v>0</v>
      </c>
      <c r="AD124" s="352">
        <f>+R124+-Y124+AB124</f>
        <v>34931678</v>
      </c>
      <c r="AG124" s="273"/>
      <c r="AH124" s="273"/>
    </row>
    <row r="125" spans="2:34" ht="30" customHeight="1" x14ac:dyDescent="0.2">
      <c r="B125" s="13" t="s">
        <v>7</v>
      </c>
      <c r="C125" s="14" t="s">
        <v>20</v>
      </c>
      <c r="D125" s="14" t="s">
        <v>20</v>
      </c>
      <c r="E125" s="14" t="s">
        <v>20</v>
      </c>
      <c r="F125" s="14" t="s">
        <v>15</v>
      </c>
      <c r="G125" s="14"/>
      <c r="H125" s="14"/>
      <c r="I125" s="14"/>
      <c r="J125" s="195"/>
      <c r="K125" s="13">
        <v>83101600</v>
      </c>
      <c r="L125" s="15" t="s">
        <v>86</v>
      </c>
      <c r="M125" s="15"/>
      <c r="N125" s="131"/>
      <c r="O125" s="154"/>
      <c r="P125" s="154"/>
      <c r="Q125" s="125">
        <f t="shared" ref="Q125:R127" si="1">+Q126</f>
        <v>1776000000</v>
      </c>
      <c r="R125" s="16">
        <f t="shared" si="1"/>
        <v>1776000000</v>
      </c>
      <c r="S125" s="14"/>
      <c r="T125" s="17"/>
      <c r="U125" s="252"/>
      <c r="V125" s="299"/>
      <c r="W125" s="329"/>
      <c r="X125" s="16"/>
      <c r="Y125" s="16"/>
      <c r="Z125" s="353"/>
      <c r="AA125" s="353"/>
      <c r="AB125" s="353"/>
      <c r="AC125" s="353"/>
      <c r="AD125" s="353"/>
      <c r="AG125" s="273"/>
      <c r="AH125" s="273"/>
    </row>
    <row r="126" spans="2:34" ht="15" customHeight="1" x14ac:dyDescent="0.2">
      <c r="B126" s="91" t="s">
        <v>7</v>
      </c>
      <c r="C126" s="92" t="s">
        <v>20</v>
      </c>
      <c r="D126" s="92" t="s">
        <v>20</v>
      </c>
      <c r="E126" s="92" t="s">
        <v>20</v>
      </c>
      <c r="F126" s="92" t="s">
        <v>15</v>
      </c>
      <c r="G126" s="92" t="s">
        <v>9</v>
      </c>
      <c r="H126" s="92"/>
      <c r="I126" s="92"/>
      <c r="J126" s="196"/>
      <c r="K126" s="91"/>
      <c r="L126" s="93" t="s">
        <v>139</v>
      </c>
      <c r="M126" s="93"/>
      <c r="N126" s="132"/>
      <c r="O126" s="155"/>
      <c r="P126" s="155"/>
      <c r="Q126" s="125">
        <f t="shared" si="1"/>
        <v>1776000000</v>
      </c>
      <c r="R126" s="94">
        <f t="shared" si="1"/>
        <v>1776000000</v>
      </c>
      <c r="S126" s="92"/>
      <c r="T126" s="95"/>
      <c r="U126" s="244"/>
      <c r="V126" s="300"/>
      <c r="W126" s="330"/>
      <c r="X126" s="94"/>
      <c r="Y126" s="94"/>
      <c r="Z126" s="354"/>
      <c r="AA126" s="354"/>
      <c r="AB126" s="354"/>
      <c r="AC126" s="354"/>
      <c r="AD126" s="354"/>
      <c r="AG126" s="273"/>
      <c r="AH126" s="273"/>
    </row>
    <row r="127" spans="2:34" ht="30" customHeight="1" x14ac:dyDescent="0.2">
      <c r="B127" s="11" t="s">
        <v>7</v>
      </c>
      <c r="C127" s="4" t="s">
        <v>20</v>
      </c>
      <c r="D127" s="4" t="s">
        <v>20</v>
      </c>
      <c r="E127" s="4" t="s">
        <v>20</v>
      </c>
      <c r="F127" s="4" t="s">
        <v>15</v>
      </c>
      <c r="G127" s="4" t="s">
        <v>9</v>
      </c>
      <c r="H127" s="4" t="s">
        <v>23</v>
      </c>
      <c r="I127" s="4"/>
      <c r="J127" s="197"/>
      <c r="K127" s="11"/>
      <c r="L127" s="6" t="s">
        <v>87</v>
      </c>
      <c r="M127" s="6"/>
      <c r="N127" s="133"/>
      <c r="O127" s="156"/>
      <c r="P127" s="156"/>
      <c r="Q127" s="125">
        <f t="shared" si="1"/>
        <v>1776000000</v>
      </c>
      <c r="R127" s="5">
        <f t="shared" si="1"/>
        <v>1776000000</v>
      </c>
      <c r="S127" s="181"/>
      <c r="T127" s="9"/>
      <c r="U127" s="245"/>
      <c r="V127" s="301"/>
      <c r="W127" s="331"/>
      <c r="X127" s="5"/>
      <c r="Y127" s="5"/>
      <c r="Z127" s="355"/>
      <c r="AA127" s="355"/>
      <c r="AB127" s="355"/>
      <c r="AC127" s="355"/>
      <c r="AD127" s="355"/>
      <c r="AG127" s="273"/>
      <c r="AH127" s="273"/>
    </row>
    <row r="128" spans="2:34" ht="30" customHeight="1" x14ac:dyDescent="0.2">
      <c r="B128" s="11" t="s">
        <v>7</v>
      </c>
      <c r="C128" s="4" t="s">
        <v>20</v>
      </c>
      <c r="D128" s="4" t="s">
        <v>20</v>
      </c>
      <c r="E128" s="4" t="s">
        <v>20</v>
      </c>
      <c r="F128" s="4" t="s">
        <v>15</v>
      </c>
      <c r="G128" s="4" t="s">
        <v>9</v>
      </c>
      <c r="H128" s="4" t="s">
        <v>23</v>
      </c>
      <c r="I128" s="4" t="s">
        <v>34</v>
      </c>
      <c r="J128" s="197"/>
      <c r="K128" s="11"/>
      <c r="L128" s="6" t="s">
        <v>88</v>
      </c>
      <c r="M128" s="6"/>
      <c r="N128" s="133"/>
      <c r="O128" s="156"/>
      <c r="P128" s="156"/>
      <c r="Q128" s="125">
        <f>+Q129+Q131</f>
        <v>1776000000</v>
      </c>
      <c r="R128" s="5">
        <f>+R129+R131</f>
        <v>1776000000</v>
      </c>
      <c r="S128" s="181"/>
      <c r="T128" s="9"/>
      <c r="U128" s="245"/>
      <c r="V128" s="301"/>
      <c r="W128" s="331"/>
      <c r="X128" s="5"/>
      <c r="Y128" s="5"/>
      <c r="Z128" s="355"/>
      <c r="AA128" s="355"/>
      <c r="AB128" s="355"/>
      <c r="AC128" s="355"/>
      <c r="AD128" s="355"/>
      <c r="AG128" s="273"/>
      <c r="AH128" s="273"/>
    </row>
    <row r="129" spans="2:34" ht="17.649999999999999" customHeight="1" x14ac:dyDescent="0.2">
      <c r="B129" s="11" t="s">
        <v>7</v>
      </c>
      <c r="C129" s="4" t="s">
        <v>20</v>
      </c>
      <c r="D129" s="4" t="s">
        <v>20</v>
      </c>
      <c r="E129" s="4" t="s">
        <v>20</v>
      </c>
      <c r="F129" s="4" t="s">
        <v>15</v>
      </c>
      <c r="G129" s="4" t="s">
        <v>9</v>
      </c>
      <c r="H129" s="4" t="s">
        <v>23</v>
      </c>
      <c r="I129" s="4" t="s">
        <v>34</v>
      </c>
      <c r="J129" s="197" t="s">
        <v>24</v>
      </c>
      <c r="K129" s="11"/>
      <c r="L129" s="6" t="s">
        <v>89</v>
      </c>
      <c r="M129" s="6"/>
      <c r="N129" s="133"/>
      <c r="O129" s="156"/>
      <c r="P129" s="156"/>
      <c r="Q129" s="125">
        <v>1774000000</v>
      </c>
      <c r="R129" s="5">
        <f>SUM(R130:R130)</f>
        <v>1774000000</v>
      </c>
      <c r="S129" s="181"/>
      <c r="T129" s="9"/>
      <c r="U129" s="245"/>
      <c r="V129" s="301"/>
      <c r="W129" s="331"/>
      <c r="X129" s="5"/>
      <c r="Y129" s="5"/>
      <c r="Z129" s="355"/>
      <c r="AA129" s="355"/>
      <c r="AB129" s="355"/>
      <c r="AC129" s="355"/>
      <c r="AD129" s="355"/>
      <c r="AG129" s="273"/>
      <c r="AH129" s="273"/>
    </row>
    <row r="130" spans="2:34" ht="30" customHeight="1" x14ac:dyDescent="0.2">
      <c r="B130" s="677"/>
      <c r="C130" s="678"/>
      <c r="D130" s="678"/>
      <c r="E130" s="678"/>
      <c r="F130" s="678"/>
      <c r="G130" s="678"/>
      <c r="H130" s="678"/>
      <c r="I130" s="678"/>
      <c r="J130" s="678"/>
      <c r="K130" s="99">
        <v>83112400</v>
      </c>
      <c r="L130" s="178" t="s">
        <v>89</v>
      </c>
      <c r="M130" s="134">
        <v>43834</v>
      </c>
      <c r="N130" s="134">
        <v>43840</v>
      </c>
      <c r="O130" s="157" t="s">
        <v>324</v>
      </c>
      <c r="P130" s="157" t="s">
        <v>317</v>
      </c>
      <c r="Q130" s="125"/>
      <c r="R130" s="101">
        <v>1774000000</v>
      </c>
      <c r="S130" s="182" t="s">
        <v>386</v>
      </c>
      <c r="T130" s="102"/>
      <c r="U130" s="253" t="s">
        <v>272</v>
      </c>
      <c r="V130" s="671" t="s">
        <v>425</v>
      </c>
      <c r="W130" s="673" t="s">
        <v>426</v>
      </c>
      <c r="X130" s="675">
        <f>156406441+1619593559</f>
        <v>1776000000</v>
      </c>
      <c r="Y130" s="675">
        <f>156406441+1619593559</f>
        <v>1776000000</v>
      </c>
      <c r="Z130" s="669">
        <v>1774665374</v>
      </c>
      <c r="AA130" s="669">
        <f>+R130+R132-Y130</f>
        <v>0</v>
      </c>
      <c r="AB130" s="669">
        <f>+Y130-Z130</f>
        <v>1334626</v>
      </c>
      <c r="AC130" s="669">
        <f>IF(Z130=0,"0",IF(Z130&gt;0,Y130-Z130,))</f>
        <v>1334626</v>
      </c>
      <c r="AD130" s="669">
        <f>+R130+R132-Y130+AB130</f>
        <v>1334626</v>
      </c>
      <c r="AG130" s="273"/>
      <c r="AH130" s="273"/>
    </row>
    <row r="131" spans="2:34" ht="18.2" customHeight="1" x14ac:dyDescent="0.2">
      <c r="B131" s="11" t="s">
        <v>7</v>
      </c>
      <c r="C131" s="4" t="s">
        <v>20</v>
      </c>
      <c r="D131" s="4" t="s">
        <v>20</v>
      </c>
      <c r="E131" s="4" t="s">
        <v>20</v>
      </c>
      <c r="F131" s="4" t="s">
        <v>15</v>
      </c>
      <c r="G131" s="4" t="s">
        <v>9</v>
      </c>
      <c r="H131" s="4" t="s">
        <v>23</v>
      </c>
      <c r="I131" s="4" t="s">
        <v>34</v>
      </c>
      <c r="J131" s="197" t="s">
        <v>29</v>
      </c>
      <c r="K131" s="11"/>
      <c r="L131" s="6" t="s">
        <v>90</v>
      </c>
      <c r="M131" s="6"/>
      <c r="N131" s="133"/>
      <c r="O131" s="156"/>
      <c r="P131" s="156"/>
      <c r="Q131" s="125">
        <v>2000000</v>
      </c>
      <c r="R131" s="5">
        <f>SUM(R132:R132)</f>
        <v>2000000</v>
      </c>
      <c r="S131" s="181"/>
      <c r="T131" s="9"/>
      <c r="U131" s="245"/>
      <c r="V131" s="699"/>
      <c r="W131" s="700"/>
      <c r="X131" s="701"/>
      <c r="Y131" s="701"/>
      <c r="Z131" s="695"/>
      <c r="AA131" s="695"/>
      <c r="AB131" s="695"/>
      <c r="AC131" s="695"/>
      <c r="AD131" s="695"/>
      <c r="AG131" s="273"/>
      <c r="AH131" s="273"/>
    </row>
    <row r="132" spans="2:34" ht="35.25" customHeight="1" x14ac:dyDescent="0.2">
      <c r="B132" s="677"/>
      <c r="C132" s="678"/>
      <c r="D132" s="678"/>
      <c r="E132" s="678"/>
      <c r="F132" s="678"/>
      <c r="G132" s="678"/>
      <c r="H132" s="678"/>
      <c r="I132" s="678"/>
      <c r="J132" s="678"/>
      <c r="K132" s="99">
        <v>84131500</v>
      </c>
      <c r="L132" s="100" t="s">
        <v>90</v>
      </c>
      <c r="M132" s="134">
        <v>44136</v>
      </c>
      <c r="N132" s="134">
        <v>44105</v>
      </c>
      <c r="O132" s="157" t="s">
        <v>301</v>
      </c>
      <c r="P132" s="157" t="s">
        <v>384</v>
      </c>
      <c r="Q132" s="125"/>
      <c r="R132" s="101">
        <v>2000000</v>
      </c>
      <c r="S132" s="182"/>
      <c r="T132" s="102"/>
      <c r="U132" s="257" t="s">
        <v>270</v>
      </c>
      <c r="V132" s="672"/>
      <c r="W132" s="674"/>
      <c r="X132" s="676"/>
      <c r="Y132" s="676"/>
      <c r="Z132" s="670"/>
      <c r="AA132" s="670"/>
      <c r="AB132" s="670"/>
      <c r="AC132" s="670"/>
      <c r="AD132" s="670"/>
      <c r="AG132" s="273"/>
      <c r="AH132" s="273"/>
    </row>
    <row r="133" spans="2:34" ht="15" customHeight="1" x14ac:dyDescent="0.2">
      <c r="B133" s="13" t="s">
        <v>7</v>
      </c>
      <c r="C133" s="14" t="s">
        <v>20</v>
      </c>
      <c r="D133" s="14" t="s">
        <v>20</v>
      </c>
      <c r="E133" s="14" t="s">
        <v>20</v>
      </c>
      <c r="F133" s="14" t="s">
        <v>16</v>
      </c>
      <c r="G133" s="14"/>
      <c r="H133" s="14"/>
      <c r="I133" s="14"/>
      <c r="J133" s="195"/>
      <c r="K133" s="13"/>
      <c r="L133" s="15" t="s">
        <v>91</v>
      </c>
      <c r="M133" s="15"/>
      <c r="N133" s="131"/>
      <c r="O133" s="154"/>
      <c r="P133" s="154"/>
      <c r="Q133" s="125">
        <f>+Q134+Q141+Q170+Q178</f>
        <v>1178100000</v>
      </c>
      <c r="R133" s="16">
        <f>+R134+R141+R170+R178</f>
        <v>1345713000</v>
      </c>
      <c r="S133" s="14"/>
      <c r="T133" s="17"/>
      <c r="U133" s="252"/>
      <c r="V133" s="299"/>
      <c r="W133" s="329"/>
      <c r="X133" s="16"/>
      <c r="Y133" s="16"/>
      <c r="Z133" s="353"/>
      <c r="AA133" s="353"/>
      <c r="AB133" s="353"/>
      <c r="AC133" s="353"/>
      <c r="AD133" s="353"/>
      <c r="AG133" s="273"/>
      <c r="AH133" s="273"/>
    </row>
    <row r="134" spans="2:34" ht="15" customHeight="1" x14ac:dyDescent="0.2">
      <c r="B134" s="91" t="s">
        <v>7</v>
      </c>
      <c r="C134" s="92" t="s">
        <v>20</v>
      </c>
      <c r="D134" s="92" t="s">
        <v>20</v>
      </c>
      <c r="E134" s="92" t="s">
        <v>20</v>
      </c>
      <c r="F134" s="92" t="s">
        <v>16</v>
      </c>
      <c r="G134" s="92" t="s">
        <v>10</v>
      </c>
      <c r="H134" s="92"/>
      <c r="I134" s="92"/>
      <c r="J134" s="196"/>
      <c r="K134" s="91"/>
      <c r="L134" s="93" t="s">
        <v>92</v>
      </c>
      <c r="M134" s="93"/>
      <c r="N134" s="132"/>
      <c r="O134" s="155"/>
      <c r="P134" s="155"/>
      <c r="Q134" s="125">
        <f>+Q135+Q138</f>
        <v>121200000</v>
      </c>
      <c r="R134" s="94">
        <f>+R135+R138</f>
        <v>276800000</v>
      </c>
      <c r="S134" s="92"/>
      <c r="T134" s="95"/>
      <c r="U134" s="244"/>
      <c r="V134" s="300"/>
      <c r="W134" s="330"/>
      <c r="X134" s="94"/>
      <c r="Y134" s="94"/>
      <c r="Z134" s="354"/>
      <c r="AA134" s="354"/>
      <c r="AB134" s="354"/>
      <c r="AC134" s="354"/>
      <c r="AD134" s="354"/>
      <c r="AG134" s="273"/>
      <c r="AH134" s="273"/>
    </row>
    <row r="135" spans="2:34" ht="15" customHeight="1" x14ac:dyDescent="0.2">
      <c r="B135" s="11" t="s">
        <v>7</v>
      </c>
      <c r="C135" s="4" t="s">
        <v>20</v>
      </c>
      <c r="D135" s="4" t="s">
        <v>20</v>
      </c>
      <c r="E135" s="4" t="s">
        <v>20</v>
      </c>
      <c r="F135" s="4" t="s">
        <v>16</v>
      </c>
      <c r="G135" s="4" t="s">
        <v>10</v>
      </c>
      <c r="H135" s="4" t="s">
        <v>8</v>
      </c>
      <c r="I135" s="4"/>
      <c r="J135" s="197"/>
      <c r="K135" s="11"/>
      <c r="L135" s="6" t="s">
        <v>93</v>
      </c>
      <c r="M135" s="6"/>
      <c r="N135" s="133"/>
      <c r="O135" s="156"/>
      <c r="P135" s="156"/>
      <c r="Q135" s="125">
        <f>162000000-52800000</f>
        <v>109200000</v>
      </c>
      <c r="R135" s="5">
        <f>SUM(R136:R137)</f>
        <v>96800000</v>
      </c>
      <c r="S135" s="181"/>
      <c r="T135" s="9"/>
      <c r="U135" s="245"/>
      <c r="V135" s="301"/>
      <c r="W135" s="331"/>
      <c r="X135" s="5"/>
      <c r="Y135" s="5"/>
      <c r="Z135" s="355"/>
      <c r="AA135" s="355"/>
      <c r="AB135" s="355"/>
      <c r="AC135" s="355"/>
      <c r="AD135" s="355"/>
      <c r="AG135" s="273"/>
      <c r="AH135" s="273"/>
    </row>
    <row r="136" spans="2:34" ht="75" customHeight="1" x14ac:dyDescent="0.2">
      <c r="B136" s="677"/>
      <c r="C136" s="678"/>
      <c r="D136" s="678"/>
      <c r="E136" s="678"/>
      <c r="F136" s="678"/>
      <c r="G136" s="678"/>
      <c r="H136" s="678"/>
      <c r="I136" s="678"/>
      <c r="J136" s="678"/>
      <c r="K136" s="99">
        <v>80121600</v>
      </c>
      <c r="L136" s="100" t="s">
        <v>252</v>
      </c>
      <c r="M136" s="134">
        <v>43834</v>
      </c>
      <c r="N136" s="134">
        <v>43840</v>
      </c>
      <c r="O136" s="157" t="s">
        <v>324</v>
      </c>
      <c r="P136" s="157" t="s">
        <v>374</v>
      </c>
      <c r="Q136" s="125"/>
      <c r="R136" s="101">
        <v>50600000</v>
      </c>
      <c r="S136" s="182" t="s">
        <v>386</v>
      </c>
      <c r="T136" s="102"/>
      <c r="U136" s="253" t="s">
        <v>253</v>
      </c>
      <c r="V136" s="302">
        <v>2020</v>
      </c>
      <c r="W136" s="332">
        <v>43833</v>
      </c>
      <c r="X136" s="174">
        <v>50600000</v>
      </c>
      <c r="Y136" s="174">
        <v>50600000</v>
      </c>
      <c r="Z136" s="352">
        <v>50600000</v>
      </c>
      <c r="AA136" s="352">
        <f>+R136-Y136</f>
        <v>0</v>
      </c>
      <c r="AB136" s="352">
        <f>+Z136-AA136</f>
        <v>50600000</v>
      </c>
      <c r="AC136" s="352">
        <f>IF(Z136=0,"0",IF(Z136&gt;0,Y136-Z136,))</f>
        <v>0</v>
      </c>
      <c r="AD136" s="352">
        <f>+R136-Y136+AB136</f>
        <v>50600000</v>
      </c>
      <c r="AG136" s="273"/>
      <c r="AH136" s="273"/>
    </row>
    <row r="137" spans="2:34" ht="60" customHeight="1" x14ac:dyDescent="0.2">
      <c r="B137" s="682"/>
      <c r="C137" s="683"/>
      <c r="D137" s="683"/>
      <c r="E137" s="683"/>
      <c r="F137" s="683"/>
      <c r="G137" s="683"/>
      <c r="H137" s="683"/>
      <c r="I137" s="683"/>
      <c r="J137" s="683"/>
      <c r="K137" s="99">
        <v>80121600</v>
      </c>
      <c r="L137" s="100" t="s">
        <v>411</v>
      </c>
      <c r="M137" s="134">
        <v>43834</v>
      </c>
      <c r="N137" s="134">
        <v>43840</v>
      </c>
      <c r="O137" s="157" t="s">
        <v>324</v>
      </c>
      <c r="P137" s="157" t="s">
        <v>374</v>
      </c>
      <c r="Q137" s="125"/>
      <c r="R137" s="101">
        <v>46200000</v>
      </c>
      <c r="S137" s="182" t="s">
        <v>386</v>
      </c>
      <c r="T137" s="102"/>
      <c r="U137" s="253" t="s">
        <v>253</v>
      </c>
      <c r="V137" s="302">
        <v>1920</v>
      </c>
      <c r="W137" s="332">
        <v>43833</v>
      </c>
      <c r="X137" s="174">
        <v>46200000</v>
      </c>
      <c r="Y137" s="174">
        <v>46200000</v>
      </c>
      <c r="Z137" s="352">
        <v>46200000</v>
      </c>
      <c r="AA137" s="352">
        <f>+R137-Y137</f>
        <v>0</v>
      </c>
      <c r="AB137" s="352">
        <f>+Z137-AA137</f>
        <v>46200000</v>
      </c>
      <c r="AC137" s="352">
        <f>IF(Z137=0,"0",IF(Z137&gt;0,Y137-Z137,))</f>
        <v>0</v>
      </c>
      <c r="AD137" s="352">
        <f>+R137+-Y137+AB137</f>
        <v>46200000</v>
      </c>
      <c r="AG137" s="273"/>
      <c r="AH137" s="273"/>
    </row>
    <row r="138" spans="2:34" ht="15" customHeight="1" x14ac:dyDescent="0.2">
      <c r="B138" s="11" t="s">
        <v>7</v>
      </c>
      <c r="C138" s="4" t="s">
        <v>20</v>
      </c>
      <c r="D138" s="4" t="s">
        <v>20</v>
      </c>
      <c r="E138" s="4" t="s">
        <v>20</v>
      </c>
      <c r="F138" s="4" t="s">
        <v>16</v>
      </c>
      <c r="G138" s="4" t="s">
        <v>10</v>
      </c>
      <c r="H138" s="4" t="s">
        <v>20</v>
      </c>
      <c r="I138" s="4"/>
      <c r="J138" s="197"/>
      <c r="K138" s="11"/>
      <c r="L138" s="6" t="s">
        <v>94</v>
      </c>
      <c r="M138" s="6"/>
      <c r="N138" s="133"/>
      <c r="O138" s="156"/>
      <c r="P138" s="156"/>
      <c r="Q138" s="125">
        <v>12000000</v>
      </c>
      <c r="R138" s="5">
        <f>SUM(R139:R140)</f>
        <v>180000000</v>
      </c>
      <c r="S138" s="181"/>
      <c r="T138" s="9"/>
      <c r="U138" s="245"/>
      <c r="V138" s="301"/>
      <c r="W138" s="331"/>
      <c r="X138" s="5"/>
      <c r="Y138" s="5"/>
      <c r="Z138" s="355"/>
      <c r="AA138" s="355"/>
      <c r="AB138" s="355"/>
      <c r="AC138" s="355"/>
      <c r="AD138" s="355"/>
      <c r="AG138" s="273"/>
      <c r="AH138" s="273"/>
    </row>
    <row r="139" spans="2:34" ht="30" customHeight="1" x14ac:dyDescent="0.2">
      <c r="B139" s="677"/>
      <c r="C139" s="678"/>
      <c r="D139" s="678"/>
      <c r="E139" s="678"/>
      <c r="F139" s="678"/>
      <c r="G139" s="678"/>
      <c r="H139" s="678"/>
      <c r="I139" s="678"/>
      <c r="J139" s="678"/>
      <c r="K139" s="99">
        <v>80101500</v>
      </c>
      <c r="L139" s="178" t="s">
        <v>255</v>
      </c>
      <c r="M139" s="134">
        <v>43871</v>
      </c>
      <c r="N139" s="134">
        <v>43892</v>
      </c>
      <c r="O139" s="157" t="s">
        <v>392</v>
      </c>
      <c r="P139" s="157" t="s">
        <v>338</v>
      </c>
      <c r="Q139" s="125"/>
      <c r="R139" s="101">
        <v>168000000</v>
      </c>
      <c r="S139" s="182" t="s">
        <v>322</v>
      </c>
      <c r="T139" s="101">
        <v>519000000</v>
      </c>
      <c r="U139" s="253" t="s">
        <v>276</v>
      </c>
      <c r="V139" s="302"/>
      <c r="W139" s="332"/>
      <c r="X139" s="174"/>
      <c r="Y139" s="174"/>
      <c r="Z139" s="352"/>
      <c r="AA139" s="352">
        <f>+R139-Y139</f>
        <v>168000000</v>
      </c>
      <c r="AB139" s="352">
        <f>+Z139-AA139</f>
        <v>-168000000</v>
      </c>
      <c r="AC139" s="352" t="str">
        <f>IF(Z139=0,"0",IF(Z139&gt;0,Y139-Z139,))</f>
        <v>0</v>
      </c>
      <c r="AD139" s="352">
        <f>+R139+-Y139+AB139</f>
        <v>0</v>
      </c>
      <c r="AG139" s="273"/>
      <c r="AH139" s="273"/>
    </row>
    <row r="140" spans="2:34" ht="15" customHeight="1" x14ac:dyDescent="0.2">
      <c r="B140" s="682"/>
      <c r="C140" s="683"/>
      <c r="D140" s="683"/>
      <c r="E140" s="683"/>
      <c r="F140" s="683"/>
      <c r="G140" s="683"/>
      <c r="H140" s="683"/>
      <c r="I140" s="683"/>
      <c r="J140" s="683"/>
      <c r="K140" s="99">
        <v>80101500</v>
      </c>
      <c r="L140" s="100" t="s">
        <v>260</v>
      </c>
      <c r="M140" s="134">
        <v>44015</v>
      </c>
      <c r="N140" s="134">
        <v>44046</v>
      </c>
      <c r="O140" s="157" t="s">
        <v>331</v>
      </c>
      <c r="P140" s="157" t="s">
        <v>318</v>
      </c>
      <c r="Q140" s="125"/>
      <c r="R140" s="101">
        <v>12000000</v>
      </c>
      <c r="S140" s="182" t="s">
        <v>386</v>
      </c>
      <c r="T140" s="102"/>
      <c r="U140" s="253" t="s">
        <v>269</v>
      </c>
      <c r="V140" s="302"/>
      <c r="W140" s="332"/>
      <c r="X140" s="174"/>
      <c r="Y140" s="174"/>
      <c r="Z140" s="352"/>
      <c r="AA140" s="352">
        <f>+R140-Y140</f>
        <v>12000000</v>
      </c>
      <c r="AB140" s="352">
        <f>+Z140-AA140</f>
        <v>-12000000</v>
      </c>
      <c r="AC140" s="352" t="str">
        <f>IF(Z140=0,"0",IF(Z140&gt;0,Y140-Z140,))</f>
        <v>0</v>
      </c>
      <c r="AD140" s="352">
        <f>+R140+-Y140+AB140</f>
        <v>0</v>
      </c>
      <c r="AG140" s="273"/>
      <c r="AH140" s="273"/>
    </row>
    <row r="141" spans="2:34" ht="15" customHeight="1" x14ac:dyDescent="0.2">
      <c r="B141" s="91" t="s">
        <v>7</v>
      </c>
      <c r="C141" s="92" t="s">
        <v>20</v>
      </c>
      <c r="D141" s="92" t="s">
        <v>20</v>
      </c>
      <c r="E141" s="92" t="s">
        <v>20</v>
      </c>
      <c r="F141" s="92" t="s">
        <v>16</v>
      </c>
      <c r="G141" s="92" t="s">
        <v>11</v>
      </c>
      <c r="H141" s="92"/>
      <c r="I141" s="92"/>
      <c r="J141" s="196"/>
      <c r="K141" s="91"/>
      <c r="L141" s="93" t="s">
        <v>95</v>
      </c>
      <c r="M141" s="93"/>
      <c r="N141" s="132"/>
      <c r="O141" s="155"/>
      <c r="P141" s="155"/>
      <c r="Q141" s="125">
        <f>+Q142</f>
        <v>732000000</v>
      </c>
      <c r="R141" s="94">
        <f>+R142</f>
        <v>829813000</v>
      </c>
      <c r="S141" s="92"/>
      <c r="T141" s="95"/>
      <c r="U141" s="244"/>
      <c r="V141" s="300"/>
      <c r="W141" s="330"/>
      <c r="X141" s="94"/>
      <c r="Y141" s="94"/>
      <c r="Z141" s="354"/>
      <c r="AA141" s="354"/>
      <c r="AB141" s="354"/>
      <c r="AC141" s="354"/>
      <c r="AD141" s="354"/>
      <c r="AG141" s="273"/>
      <c r="AH141" s="273"/>
    </row>
    <row r="142" spans="2:34" ht="30" customHeight="1" x14ac:dyDescent="0.2">
      <c r="B142" s="11" t="s">
        <v>7</v>
      </c>
      <c r="C142" s="4" t="s">
        <v>20</v>
      </c>
      <c r="D142" s="4" t="s">
        <v>20</v>
      </c>
      <c r="E142" s="4" t="s">
        <v>20</v>
      </c>
      <c r="F142" s="4" t="s">
        <v>16</v>
      </c>
      <c r="G142" s="4" t="s">
        <v>11</v>
      </c>
      <c r="H142" s="4" t="s">
        <v>8</v>
      </c>
      <c r="I142" s="4"/>
      <c r="J142" s="197"/>
      <c r="K142" s="11"/>
      <c r="L142" s="6" t="s">
        <v>122</v>
      </c>
      <c r="M142" s="6"/>
      <c r="N142" s="133"/>
      <c r="O142" s="156"/>
      <c r="P142" s="156"/>
      <c r="Q142" s="125">
        <f>+Q143+Q152+Q154+Q166+Q168</f>
        <v>732000000</v>
      </c>
      <c r="R142" s="5">
        <f>+R143+R152+R154+R166+R168</f>
        <v>829813000</v>
      </c>
      <c r="S142" s="181"/>
      <c r="T142" s="9"/>
      <c r="U142" s="245"/>
      <c r="V142" s="301"/>
      <c r="W142" s="331"/>
      <c r="X142" s="5"/>
      <c r="Y142" s="5"/>
      <c r="Z142" s="355"/>
      <c r="AA142" s="355"/>
      <c r="AB142" s="355"/>
      <c r="AC142" s="355"/>
      <c r="AD142" s="355"/>
      <c r="AG142" s="273"/>
      <c r="AH142" s="273"/>
    </row>
    <row r="143" spans="2:34" ht="16.899999999999999" customHeight="1" x14ac:dyDescent="0.2">
      <c r="B143" s="11" t="s">
        <v>7</v>
      </c>
      <c r="C143" s="4" t="s">
        <v>20</v>
      </c>
      <c r="D143" s="4" t="s">
        <v>20</v>
      </c>
      <c r="E143" s="4" t="s">
        <v>20</v>
      </c>
      <c r="F143" s="4" t="s">
        <v>16</v>
      </c>
      <c r="G143" s="4" t="s">
        <v>11</v>
      </c>
      <c r="H143" s="4" t="s">
        <v>8</v>
      </c>
      <c r="I143" s="4" t="s">
        <v>21</v>
      </c>
      <c r="J143" s="198"/>
      <c r="K143" s="12"/>
      <c r="L143" s="6" t="s">
        <v>96</v>
      </c>
      <c r="M143" s="6"/>
      <c r="N143" s="133"/>
      <c r="O143" s="156"/>
      <c r="P143" s="159"/>
      <c r="Q143" s="125">
        <f>52800000+49000000+54000000+167500000+52800000</f>
        <v>376100000</v>
      </c>
      <c r="R143" s="5">
        <f>SUM(R144:R151)</f>
        <v>308260000</v>
      </c>
      <c r="S143" s="181"/>
      <c r="T143" s="9"/>
      <c r="U143" s="245"/>
      <c r="V143" s="301"/>
      <c r="W143" s="331"/>
      <c r="X143" s="5"/>
      <c r="Y143" s="5"/>
      <c r="Z143" s="355"/>
      <c r="AA143" s="355"/>
      <c r="AB143" s="355"/>
      <c r="AC143" s="355"/>
      <c r="AD143" s="355"/>
      <c r="AG143" s="273"/>
      <c r="AH143" s="273"/>
    </row>
    <row r="144" spans="2:34" ht="45.2" customHeight="1" x14ac:dyDescent="0.2">
      <c r="B144" s="677"/>
      <c r="C144" s="678"/>
      <c r="D144" s="678"/>
      <c r="E144" s="678"/>
      <c r="F144" s="678"/>
      <c r="G144" s="678"/>
      <c r="H144" s="678"/>
      <c r="I144" s="678"/>
      <c r="J144" s="678"/>
      <c r="K144" s="99">
        <v>80101500</v>
      </c>
      <c r="L144" s="100" t="s">
        <v>256</v>
      </c>
      <c r="M144" s="134">
        <v>43834</v>
      </c>
      <c r="N144" s="134">
        <v>43840</v>
      </c>
      <c r="O144" s="157" t="s">
        <v>305</v>
      </c>
      <c r="P144" s="157" t="s">
        <v>374</v>
      </c>
      <c r="Q144" s="125"/>
      <c r="R144" s="101">
        <v>55000000</v>
      </c>
      <c r="S144" s="182" t="s">
        <v>386</v>
      </c>
      <c r="T144" s="102"/>
      <c r="U144" s="253" t="s">
        <v>254</v>
      </c>
      <c r="V144" s="302">
        <v>120</v>
      </c>
      <c r="W144" s="332">
        <v>43833</v>
      </c>
      <c r="X144" s="174">
        <v>55000000</v>
      </c>
      <c r="Y144" s="174">
        <v>55000000</v>
      </c>
      <c r="Z144" s="352">
        <v>55000000</v>
      </c>
      <c r="AA144" s="352">
        <f t="shared" ref="AA144:AA151" si="2">+R144-Y144</f>
        <v>0</v>
      </c>
      <c r="AB144" s="352">
        <f t="shared" ref="AB144:AB151" si="3">+Z144-AA144</f>
        <v>55000000</v>
      </c>
      <c r="AC144" s="352">
        <f t="shared" ref="AC144:AC151" si="4">IF(Z144=0,"0",IF(Z144&gt;0,Y144-Z144,))</f>
        <v>0</v>
      </c>
      <c r="AD144" s="352">
        <f t="shared" ref="AD144:AD151" si="5">+R144+-Y144+AB144</f>
        <v>55000000</v>
      </c>
      <c r="AG144" s="273"/>
      <c r="AH144" s="273"/>
    </row>
    <row r="145" spans="2:34" ht="45.2" customHeight="1" x14ac:dyDescent="0.2">
      <c r="B145" s="682"/>
      <c r="C145" s="683"/>
      <c r="D145" s="683"/>
      <c r="E145" s="683"/>
      <c r="F145" s="683"/>
      <c r="G145" s="683"/>
      <c r="H145" s="683"/>
      <c r="I145" s="683"/>
      <c r="J145" s="683"/>
      <c r="K145" s="99">
        <v>80101500</v>
      </c>
      <c r="L145" s="100" t="s">
        <v>256</v>
      </c>
      <c r="M145" s="134">
        <v>43834</v>
      </c>
      <c r="N145" s="134">
        <v>43840</v>
      </c>
      <c r="O145" s="157" t="s">
        <v>305</v>
      </c>
      <c r="P145" s="157" t="s">
        <v>374</v>
      </c>
      <c r="Q145" s="125"/>
      <c r="R145" s="101">
        <v>0</v>
      </c>
      <c r="S145" s="182" t="s">
        <v>386</v>
      </c>
      <c r="T145" s="102"/>
      <c r="U145" s="253" t="s">
        <v>254</v>
      </c>
      <c r="V145" s="302"/>
      <c r="W145" s="332"/>
      <c r="X145" s="174"/>
      <c r="Y145" s="174"/>
      <c r="Z145" s="352"/>
      <c r="AA145" s="352">
        <f t="shared" si="2"/>
        <v>0</v>
      </c>
      <c r="AB145" s="352">
        <f t="shared" si="3"/>
        <v>0</v>
      </c>
      <c r="AC145" s="352" t="str">
        <f t="shared" si="4"/>
        <v>0</v>
      </c>
      <c r="AD145" s="352">
        <f t="shared" si="5"/>
        <v>0</v>
      </c>
      <c r="AG145" s="273"/>
      <c r="AH145" s="273"/>
    </row>
    <row r="146" spans="2:34" ht="45.2" customHeight="1" x14ac:dyDescent="0.2">
      <c r="B146" s="682"/>
      <c r="C146" s="683"/>
      <c r="D146" s="683"/>
      <c r="E146" s="683"/>
      <c r="F146" s="683"/>
      <c r="G146" s="683"/>
      <c r="H146" s="683"/>
      <c r="I146" s="683"/>
      <c r="J146" s="683"/>
      <c r="K146" s="99">
        <v>80101500</v>
      </c>
      <c r="L146" s="100" t="s">
        <v>258</v>
      </c>
      <c r="M146" s="134">
        <v>43834</v>
      </c>
      <c r="N146" s="134">
        <v>43840</v>
      </c>
      <c r="O146" s="157" t="s">
        <v>305</v>
      </c>
      <c r="P146" s="157" t="s">
        <v>374</v>
      </c>
      <c r="Q146" s="125"/>
      <c r="R146" s="101">
        <v>46200000</v>
      </c>
      <c r="S146" s="182" t="s">
        <v>386</v>
      </c>
      <c r="T146" s="102"/>
      <c r="U146" s="253" t="s">
        <v>254</v>
      </c>
      <c r="V146" s="302">
        <v>220</v>
      </c>
      <c r="W146" s="332">
        <v>43833</v>
      </c>
      <c r="X146" s="174">
        <v>46200000</v>
      </c>
      <c r="Y146" s="174">
        <v>46200000</v>
      </c>
      <c r="Z146" s="352">
        <v>46200000</v>
      </c>
      <c r="AA146" s="352">
        <f t="shared" si="2"/>
        <v>0</v>
      </c>
      <c r="AB146" s="352">
        <f t="shared" si="3"/>
        <v>46200000</v>
      </c>
      <c r="AC146" s="352">
        <f t="shared" si="4"/>
        <v>0</v>
      </c>
      <c r="AD146" s="352">
        <f>+R146-Y146+AB146</f>
        <v>46200000</v>
      </c>
      <c r="AG146" s="273"/>
      <c r="AH146" s="273"/>
    </row>
    <row r="147" spans="2:34" ht="45.2" customHeight="1" x14ac:dyDescent="0.2">
      <c r="B147" s="682"/>
      <c r="C147" s="683"/>
      <c r="D147" s="683"/>
      <c r="E147" s="683"/>
      <c r="F147" s="683"/>
      <c r="G147" s="683"/>
      <c r="H147" s="683"/>
      <c r="I147" s="683"/>
      <c r="J147" s="683"/>
      <c r="K147" s="99">
        <v>80101500</v>
      </c>
      <c r="L147" s="100" t="s">
        <v>193</v>
      </c>
      <c r="M147" s="134">
        <v>43834</v>
      </c>
      <c r="N147" s="134">
        <v>43840</v>
      </c>
      <c r="O147" s="157" t="s">
        <v>305</v>
      </c>
      <c r="P147" s="157" t="s">
        <v>374</v>
      </c>
      <c r="Q147" s="125"/>
      <c r="R147" s="101">
        <v>50600000</v>
      </c>
      <c r="S147" s="182" t="s">
        <v>386</v>
      </c>
      <c r="T147" s="102"/>
      <c r="U147" s="253" t="s">
        <v>194</v>
      </c>
      <c r="V147" s="302">
        <v>2120</v>
      </c>
      <c r="W147" s="332">
        <v>43838</v>
      </c>
      <c r="X147" s="174">
        <v>50600000</v>
      </c>
      <c r="Y147" s="174">
        <v>50600000</v>
      </c>
      <c r="Z147" s="352">
        <v>50600000</v>
      </c>
      <c r="AA147" s="352">
        <f t="shared" si="2"/>
        <v>0</v>
      </c>
      <c r="AB147" s="352">
        <f t="shared" si="3"/>
        <v>50600000</v>
      </c>
      <c r="AC147" s="352">
        <f t="shared" si="4"/>
        <v>0</v>
      </c>
      <c r="AD147" s="352">
        <f t="shared" si="5"/>
        <v>50600000</v>
      </c>
      <c r="AG147" s="273"/>
      <c r="AH147" s="273"/>
    </row>
    <row r="148" spans="2:34" ht="45.2" customHeight="1" x14ac:dyDescent="0.2">
      <c r="B148" s="682"/>
      <c r="C148" s="683"/>
      <c r="D148" s="683"/>
      <c r="E148" s="683"/>
      <c r="F148" s="683"/>
      <c r="G148" s="683"/>
      <c r="H148" s="683"/>
      <c r="I148" s="683"/>
      <c r="J148" s="683"/>
      <c r="K148" s="99">
        <v>80101500</v>
      </c>
      <c r="L148" s="100" t="s">
        <v>423</v>
      </c>
      <c r="M148" s="134">
        <v>43834</v>
      </c>
      <c r="N148" s="134">
        <v>43840</v>
      </c>
      <c r="O148" s="157" t="s">
        <v>305</v>
      </c>
      <c r="P148" s="157" t="s">
        <v>374</v>
      </c>
      <c r="Q148" s="125"/>
      <c r="R148" s="101">
        <v>50600000</v>
      </c>
      <c r="S148" s="182" t="s">
        <v>386</v>
      </c>
      <c r="T148" s="102"/>
      <c r="U148" s="253" t="s">
        <v>269</v>
      </c>
      <c r="V148" s="302">
        <v>10120</v>
      </c>
      <c r="W148" s="332">
        <v>43860</v>
      </c>
      <c r="X148" s="174">
        <v>20900000</v>
      </c>
      <c r="Y148" s="174">
        <v>20900000</v>
      </c>
      <c r="Z148" s="352">
        <v>20900000</v>
      </c>
      <c r="AA148" s="352">
        <f t="shared" si="2"/>
        <v>29700000</v>
      </c>
      <c r="AB148" s="352">
        <f t="shared" si="3"/>
        <v>-8800000</v>
      </c>
      <c r="AC148" s="352">
        <f t="shared" si="4"/>
        <v>0</v>
      </c>
      <c r="AD148" s="352">
        <f t="shared" si="5"/>
        <v>20900000</v>
      </c>
      <c r="AG148" s="273"/>
      <c r="AH148" s="273"/>
    </row>
    <row r="149" spans="2:34" ht="30" customHeight="1" x14ac:dyDescent="0.2">
      <c r="B149" s="682"/>
      <c r="C149" s="683"/>
      <c r="D149" s="683"/>
      <c r="E149" s="683"/>
      <c r="F149" s="683"/>
      <c r="G149" s="683"/>
      <c r="H149" s="683"/>
      <c r="I149" s="683"/>
      <c r="J149" s="683"/>
      <c r="K149" s="99">
        <v>81111800</v>
      </c>
      <c r="L149" s="178" t="s">
        <v>175</v>
      </c>
      <c r="M149" s="134">
        <v>43500</v>
      </c>
      <c r="N149" s="134">
        <v>43891</v>
      </c>
      <c r="O149" s="157" t="s">
        <v>307</v>
      </c>
      <c r="P149" s="157" t="s">
        <v>374</v>
      </c>
      <c r="Q149" s="125"/>
      <c r="R149" s="101">
        <v>24960000</v>
      </c>
      <c r="S149" s="182" t="s">
        <v>386</v>
      </c>
      <c r="T149" s="102"/>
      <c r="U149" s="253" t="s">
        <v>181</v>
      </c>
      <c r="V149" s="302">
        <v>15920</v>
      </c>
      <c r="W149" s="332">
        <v>43887</v>
      </c>
      <c r="X149" s="174">
        <v>24960000</v>
      </c>
      <c r="Y149" s="174">
        <v>24960000</v>
      </c>
      <c r="Z149" s="352">
        <v>18312315</v>
      </c>
      <c r="AA149" s="352">
        <f t="shared" si="2"/>
        <v>0</v>
      </c>
      <c r="AB149" s="352">
        <f t="shared" si="3"/>
        <v>18312315</v>
      </c>
      <c r="AC149" s="352">
        <f t="shared" si="4"/>
        <v>6647685</v>
      </c>
      <c r="AD149" s="352">
        <f t="shared" si="5"/>
        <v>18312315</v>
      </c>
      <c r="AG149" s="273"/>
      <c r="AH149" s="273"/>
    </row>
    <row r="150" spans="2:34" ht="45" customHeight="1" x14ac:dyDescent="0.2">
      <c r="B150" s="682"/>
      <c r="C150" s="683"/>
      <c r="D150" s="683"/>
      <c r="E150" s="683"/>
      <c r="F150" s="683"/>
      <c r="G150" s="683"/>
      <c r="H150" s="683"/>
      <c r="I150" s="683"/>
      <c r="J150" s="683"/>
      <c r="K150" s="177" t="s">
        <v>304</v>
      </c>
      <c r="L150" s="100" t="s">
        <v>303</v>
      </c>
      <c r="M150" s="134">
        <v>43936</v>
      </c>
      <c r="N150" s="134">
        <v>43966</v>
      </c>
      <c r="O150" s="157" t="s">
        <v>399</v>
      </c>
      <c r="P150" s="157" t="s">
        <v>319</v>
      </c>
      <c r="Q150" s="125"/>
      <c r="R150" s="101">
        <v>60000000</v>
      </c>
      <c r="S150" s="182" t="s">
        <v>386</v>
      </c>
      <c r="T150" s="102"/>
      <c r="U150" s="253" t="s">
        <v>291</v>
      </c>
      <c r="V150" s="302"/>
      <c r="W150" s="332"/>
      <c r="X150" s="174"/>
      <c r="Y150" s="174"/>
      <c r="Z150" s="352"/>
      <c r="AA150" s="352">
        <f t="shared" si="2"/>
        <v>60000000</v>
      </c>
      <c r="AB150" s="352">
        <f t="shared" si="3"/>
        <v>-60000000</v>
      </c>
      <c r="AC150" s="352" t="str">
        <f t="shared" si="4"/>
        <v>0</v>
      </c>
      <c r="AD150" s="352">
        <f t="shared" si="5"/>
        <v>0</v>
      </c>
      <c r="AG150" s="273"/>
      <c r="AH150" s="273"/>
    </row>
    <row r="151" spans="2:34" ht="30" customHeight="1" x14ac:dyDescent="0.2">
      <c r="B151" s="682"/>
      <c r="C151" s="683"/>
      <c r="D151" s="683"/>
      <c r="E151" s="683"/>
      <c r="F151" s="683"/>
      <c r="G151" s="683"/>
      <c r="H151" s="683"/>
      <c r="I151" s="683"/>
      <c r="J151" s="683"/>
      <c r="K151" s="99">
        <v>80101500</v>
      </c>
      <c r="L151" s="100" t="s">
        <v>257</v>
      </c>
      <c r="M151" s="134">
        <v>43834</v>
      </c>
      <c r="N151" s="134">
        <v>43840</v>
      </c>
      <c r="O151" s="157" t="s">
        <v>305</v>
      </c>
      <c r="P151" s="157" t="s">
        <v>374</v>
      </c>
      <c r="Q151" s="125"/>
      <c r="R151" s="101">
        <v>20900000</v>
      </c>
      <c r="S151" s="182" t="s">
        <v>386</v>
      </c>
      <c r="T151" s="102"/>
      <c r="U151" s="253" t="s">
        <v>274</v>
      </c>
      <c r="V151" s="302">
        <v>1820</v>
      </c>
      <c r="W151" s="332">
        <v>43833</v>
      </c>
      <c r="X151" s="174">
        <v>20900000</v>
      </c>
      <c r="Y151" s="174">
        <v>20900000</v>
      </c>
      <c r="Z151" s="352">
        <v>20900000</v>
      </c>
      <c r="AA151" s="352">
        <f t="shared" si="2"/>
        <v>0</v>
      </c>
      <c r="AB151" s="352">
        <f t="shared" si="3"/>
        <v>20900000</v>
      </c>
      <c r="AC151" s="352">
        <f t="shared" si="4"/>
        <v>0</v>
      </c>
      <c r="AD151" s="352">
        <f t="shared" si="5"/>
        <v>20900000</v>
      </c>
      <c r="AG151" s="273"/>
      <c r="AH151" s="273"/>
    </row>
    <row r="152" spans="2:34" ht="15" customHeight="1" x14ac:dyDescent="0.2">
      <c r="B152" s="11" t="s">
        <v>7</v>
      </c>
      <c r="C152" s="4" t="s">
        <v>20</v>
      </c>
      <c r="D152" s="4" t="s">
        <v>20</v>
      </c>
      <c r="E152" s="4" t="s">
        <v>20</v>
      </c>
      <c r="F152" s="4" t="s">
        <v>16</v>
      </c>
      <c r="G152" s="4" t="s">
        <v>11</v>
      </c>
      <c r="H152" s="4" t="s">
        <v>8</v>
      </c>
      <c r="I152" s="4" t="s">
        <v>22</v>
      </c>
      <c r="J152" s="197"/>
      <c r="K152" s="11"/>
      <c r="L152" s="6" t="s">
        <v>97</v>
      </c>
      <c r="M152" s="6"/>
      <c r="N152" s="133"/>
      <c r="O152" s="156"/>
      <c r="P152" s="159"/>
      <c r="Q152" s="125">
        <v>6500000</v>
      </c>
      <c r="R152" s="5">
        <f>SUM(R153:R153)</f>
        <v>6500000</v>
      </c>
      <c r="S152" s="181"/>
      <c r="T152" s="9"/>
      <c r="U152" s="245"/>
      <c r="V152" s="301"/>
      <c r="W152" s="331"/>
      <c r="X152" s="5"/>
      <c r="Y152" s="5"/>
      <c r="Z152" s="355"/>
      <c r="AA152" s="355"/>
      <c r="AB152" s="355"/>
      <c r="AC152" s="355"/>
      <c r="AD152" s="355"/>
      <c r="AG152" s="273"/>
      <c r="AH152" s="273"/>
    </row>
    <row r="153" spans="2:34" ht="30" customHeight="1" x14ac:dyDescent="0.2">
      <c r="B153" s="677"/>
      <c r="C153" s="678"/>
      <c r="D153" s="678"/>
      <c r="E153" s="678"/>
      <c r="F153" s="678"/>
      <c r="G153" s="678"/>
      <c r="H153" s="678"/>
      <c r="I153" s="678"/>
      <c r="J153" s="678"/>
      <c r="K153" s="99">
        <v>80101500</v>
      </c>
      <c r="L153" s="100" t="s">
        <v>400</v>
      </c>
      <c r="M153" s="134">
        <v>44136</v>
      </c>
      <c r="N153" s="134">
        <v>44105</v>
      </c>
      <c r="O153" s="157" t="s">
        <v>331</v>
      </c>
      <c r="P153" s="157" t="s">
        <v>374</v>
      </c>
      <c r="Q153" s="125"/>
      <c r="R153" s="101">
        <v>6500000</v>
      </c>
      <c r="S153" s="182" t="s">
        <v>386</v>
      </c>
      <c r="T153" s="102"/>
      <c r="U153" s="253" t="s">
        <v>194</v>
      </c>
      <c r="V153" s="302"/>
      <c r="W153" s="332"/>
      <c r="X153" s="174"/>
      <c r="Y153" s="174"/>
      <c r="Z153" s="352"/>
      <c r="AA153" s="352">
        <f>+R153-Y153</f>
        <v>6500000</v>
      </c>
      <c r="AB153" s="352">
        <f>+Z153-AA153</f>
        <v>-6500000</v>
      </c>
      <c r="AC153" s="352" t="str">
        <f>IF(Z153=0,"0",IF(Z153&gt;0,Y153-Z153,))</f>
        <v>0</v>
      </c>
      <c r="AD153" s="352">
        <f>+R153+-Y153+AB153</f>
        <v>0</v>
      </c>
      <c r="AG153" s="273"/>
      <c r="AH153" s="273"/>
    </row>
    <row r="154" spans="2:34" ht="18.2" customHeight="1" x14ac:dyDescent="0.2">
      <c r="B154" s="11" t="s">
        <v>7</v>
      </c>
      <c r="C154" s="4" t="s">
        <v>20</v>
      </c>
      <c r="D154" s="4" t="s">
        <v>20</v>
      </c>
      <c r="E154" s="4" t="s">
        <v>20</v>
      </c>
      <c r="F154" s="4" t="s">
        <v>16</v>
      </c>
      <c r="G154" s="4" t="s">
        <v>11</v>
      </c>
      <c r="H154" s="4" t="s">
        <v>8</v>
      </c>
      <c r="I154" s="4" t="s">
        <v>32</v>
      </c>
      <c r="J154" s="197"/>
      <c r="K154" s="11"/>
      <c r="L154" s="6" t="s">
        <v>98</v>
      </c>
      <c r="M154" s="6"/>
      <c r="N154" s="133"/>
      <c r="O154" s="156"/>
      <c r="P154" s="156"/>
      <c r="Q154" s="125">
        <v>278000000</v>
      </c>
      <c r="R154" s="5">
        <f>SUM(R155:R165)</f>
        <v>266653000</v>
      </c>
      <c r="S154" s="181"/>
      <c r="T154" s="9"/>
      <c r="U154" s="245"/>
      <c r="V154" s="301"/>
      <c r="W154" s="331"/>
      <c r="X154" s="5"/>
      <c r="Y154" s="5"/>
      <c r="Z154" s="355"/>
      <c r="AA154" s="355"/>
      <c r="AB154" s="355"/>
      <c r="AC154" s="355"/>
      <c r="AD154" s="355"/>
      <c r="AG154" s="273"/>
      <c r="AH154" s="273"/>
    </row>
    <row r="155" spans="2:34" ht="30" customHeight="1" x14ac:dyDescent="0.2">
      <c r="B155" s="682"/>
      <c r="C155" s="683"/>
      <c r="D155" s="683"/>
      <c r="E155" s="683"/>
      <c r="F155" s="683"/>
      <c r="G155" s="683"/>
      <c r="H155" s="683"/>
      <c r="I155" s="683"/>
      <c r="J155" s="683"/>
      <c r="K155" s="99">
        <v>81111500</v>
      </c>
      <c r="L155" s="100" t="s">
        <v>234</v>
      </c>
      <c r="M155" s="134">
        <v>43469</v>
      </c>
      <c r="N155" s="134">
        <v>43840</v>
      </c>
      <c r="O155" s="157" t="s">
        <v>305</v>
      </c>
      <c r="P155" s="157" t="s">
        <v>374</v>
      </c>
      <c r="Q155" s="125"/>
      <c r="R155" s="101">
        <v>48400000</v>
      </c>
      <c r="S155" s="182" t="s">
        <v>386</v>
      </c>
      <c r="T155" s="102"/>
      <c r="U155" s="253" t="s">
        <v>181</v>
      </c>
      <c r="V155" s="302">
        <v>1420</v>
      </c>
      <c r="W155" s="332">
        <v>43833</v>
      </c>
      <c r="X155" s="174">
        <v>48400000</v>
      </c>
      <c r="Y155" s="174">
        <v>48400000</v>
      </c>
      <c r="Z155" s="352">
        <v>48400000</v>
      </c>
      <c r="AA155" s="352">
        <f t="shared" ref="AA155:AA165" si="6">+R155-Y155</f>
        <v>0</v>
      </c>
      <c r="AB155" s="352">
        <f t="shared" ref="AB155:AB165" si="7">+Z155-AA155</f>
        <v>48400000</v>
      </c>
      <c r="AC155" s="352">
        <f t="shared" ref="AC155:AC165" si="8">IF(Z155=0,"0",IF(Z155&gt;0,Y155-Z155,))</f>
        <v>0</v>
      </c>
      <c r="AD155" s="352">
        <f t="shared" ref="AD155:AD169" si="9">+R155+-Y155+AB155</f>
        <v>48400000</v>
      </c>
      <c r="AG155" s="273"/>
      <c r="AH155" s="273"/>
    </row>
    <row r="156" spans="2:34" ht="30" customHeight="1" x14ac:dyDescent="0.2">
      <c r="B156" s="682"/>
      <c r="C156" s="683"/>
      <c r="D156" s="683"/>
      <c r="E156" s="683"/>
      <c r="F156" s="683"/>
      <c r="G156" s="683"/>
      <c r="H156" s="683"/>
      <c r="I156" s="683"/>
      <c r="J156" s="683"/>
      <c r="K156" s="99">
        <v>81111500</v>
      </c>
      <c r="L156" s="100" t="s">
        <v>235</v>
      </c>
      <c r="M156" s="134">
        <v>43469</v>
      </c>
      <c r="N156" s="134">
        <v>43840</v>
      </c>
      <c r="O156" s="157" t="s">
        <v>305</v>
      </c>
      <c r="P156" s="157" t="s">
        <v>374</v>
      </c>
      <c r="Q156" s="125"/>
      <c r="R156" s="101">
        <v>44000000</v>
      </c>
      <c r="S156" s="182" t="s">
        <v>386</v>
      </c>
      <c r="T156" s="102"/>
      <c r="U156" s="253" t="s">
        <v>181</v>
      </c>
      <c r="V156" s="302">
        <v>1520</v>
      </c>
      <c r="W156" s="332">
        <v>43833</v>
      </c>
      <c r="X156" s="174">
        <v>44000000</v>
      </c>
      <c r="Y156" s="174">
        <v>44000000</v>
      </c>
      <c r="Z156" s="352">
        <v>44000000</v>
      </c>
      <c r="AA156" s="352">
        <f t="shared" si="6"/>
        <v>0</v>
      </c>
      <c r="AB156" s="352">
        <f t="shared" si="7"/>
        <v>44000000</v>
      </c>
      <c r="AC156" s="352">
        <f t="shared" si="8"/>
        <v>0</v>
      </c>
      <c r="AD156" s="352">
        <f t="shared" si="9"/>
        <v>44000000</v>
      </c>
      <c r="AG156" s="273"/>
      <c r="AH156" s="273"/>
    </row>
    <row r="157" spans="2:34" ht="30" customHeight="1" x14ac:dyDescent="0.2">
      <c r="B157" s="682"/>
      <c r="C157" s="683"/>
      <c r="D157" s="683"/>
      <c r="E157" s="683"/>
      <c r="F157" s="683"/>
      <c r="G157" s="683"/>
      <c r="H157" s="683"/>
      <c r="I157" s="683"/>
      <c r="J157" s="683"/>
      <c r="K157" s="176" t="s">
        <v>308</v>
      </c>
      <c r="L157" s="110" t="s">
        <v>232</v>
      </c>
      <c r="M157" s="110"/>
      <c r="N157" s="135"/>
      <c r="O157" s="158" t="s">
        <v>296</v>
      </c>
      <c r="P157" s="158"/>
      <c r="Q157" s="125"/>
      <c r="R157" s="111">
        <v>14000000</v>
      </c>
      <c r="S157" s="184"/>
      <c r="T157" s="112"/>
      <c r="U157" s="254" t="s">
        <v>181</v>
      </c>
      <c r="V157" s="302">
        <v>3720</v>
      </c>
      <c r="W157" s="332">
        <v>43831</v>
      </c>
      <c r="X157" s="174">
        <v>14000000</v>
      </c>
      <c r="Y157" s="174">
        <v>14000000</v>
      </c>
      <c r="Z157" s="352">
        <v>14000000</v>
      </c>
      <c r="AA157" s="352">
        <f t="shared" si="6"/>
        <v>0</v>
      </c>
      <c r="AB157" s="352">
        <f t="shared" si="7"/>
        <v>14000000</v>
      </c>
      <c r="AC157" s="352">
        <f t="shared" si="8"/>
        <v>0</v>
      </c>
      <c r="AD157" s="352">
        <f t="shared" si="9"/>
        <v>14000000</v>
      </c>
      <c r="AG157" s="273"/>
      <c r="AH157" s="273"/>
    </row>
    <row r="158" spans="2:34" ht="30" customHeight="1" x14ac:dyDescent="0.2">
      <c r="B158" s="682"/>
      <c r="C158" s="683"/>
      <c r="D158" s="683"/>
      <c r="E158" s="683"/>
      <c r="F158" s="683"/>
      <c r="G158" s="683"/>
      <c r="H158" s="683"/>
      <c r="I158" s="683"/>
      <c r="J158" s="683"/>
      <c r="K158" s="177" t="s">
        <v>308</v>
      </c>
      <c r="L158" s="178" t="s">
        <v>306</v>
      </c>
      <c r="M158" s="134">
        <v>43936</v>
      </c>
      <c r="N158" s="134">
        <v>43966</v>
      </c>
      <c r="O158" s="157" t="s">
        <v>301</v>
      </c>
      <c r="P158" s="157" t="s">
        <v>319</v>
      </c>
      <c r="Q158" s="125"/>
      <c r="R158" s="101">
        <v>12000000</v>
      </c>
      <c r="S158" s="182" t="s">
        <v>322</v>
      </c>
      <c r="T158" s="101">
        <v>17000000</v>
      </c>
      <c r="U158" s="253" t="s">
        <v>181</v>
      </c>
      <c r="V158" s="302"/>
      <c r="W158" s="332"/>
      <c r="X158" s="174"/>
      <c r="Y158" s="174"/>
      <c r="Z158" s="352"/>
      <c r="AA158" s="352">
        <f t="shared" si="6"/>
        <v>12000000</v>
      </c>
      <c r="AB158" s="352">
        <f t="shared" si="7"/>
        <v>-12000000</v>
      </c>
      <c r="AC158" s="352" t="str">
        <f t="shared" si="8"/>
        <v>0</v>
      </c>
      <c r="AD158" s="352">
        <f t="shared" si="9"/>
        <v>0</v>
      </c>
      <c r="AG158" s="273"/>
      <c r="AH158" s="273"/>
    </row>
    <row r="159" spans="2:34" ht="30" customHeight="1" x14ac:dyDescent="0.2">
      <c r="B159" s="682"/>
      <c r="C159" s="683"/>
      <c r="D159" s="683"/>
      <c r="E159" s="683"/>
      <c r="F159" s="683"/>
      <c r="G159" s="683"/>
      <c r="H159" s="683"/>
      <c r="I159" s="683"/>
      <c r="J159" s="683"/>
      <c r="K159" s="109">
        <v>81112200</v>
      </c>
      <c r="L159" s="110" t="s">
        <v>236</v>
      </c>
      <c r="M159" s="110"/>
      <c r="N159" s="135"/>
      <c r="O159" s="158" t="s">
        <v>296</v>
      </c>
      <c r="P159" s="158"/>
      <c r="Q159" s="125"/>
      <c r="R159" s="111">
        <v>12453000</v>
      </c>
      <c r="S159" s="184"/>
      <c r="T159" s="112"/>
      <c r="U159" s="254" t="s">
        <v>181</v>
      </c>
      <c r="V159" s="302">
        <v>3220</v>
      </c>
      <c r="W159" s="332">
        <v>43844</v>
      </c>
      <c r="X159" s="174">
        <v>8792630</v>
      </c>
      <c r="Y159" s="174">
        <v>8792630</v>
      </c>
      <c r="Z159" s="352">
        <v>8792630</v>
      </c>
      <c r="AA159" s="352">
        <f t="shared" si="6"/>
        <v>3660370</v>
      </c>
      <c r="AB159" s="352">
        <f t="shared" si="7"/>
        <v>5132260</v>
      </c>
      <c r="AC159" s="352">
        <f t="shared" si="8"/>
        <v>0</v>
      </c>
      <c r="AD159" s="352">
        <f t="shared" si="9"/>
        <v>8792630</v>
      </c>
      <c r="AG159" s="273"/>
      <c r="AH159" s="273"/>
    </row>
    <row r="160" spans="2:34" ht="30" customHeight="1" x14ac:dyDescent="0.2">
      <c r="B160" s="682"/>
      <c r="C160" s="683"/>
      <c r="D160" s="683"/>
      <c r="E160" s="683"/>
      <c r="F160" s="683"/>
      <c r="G160" s="683"/>
      <c r="H160" s="683"/>
      <c r="I160" s="683"/>
      <c r="J160" s="683"/>
      <c r="K160" s="99">
        <v>82112200</v>
      </c>
      <c r="L160" s="178" t="s">
        <v>176</v>
      </c>
      <c r="M160" s="134">
        <v>43845</v>
      </c>
      <c r="N160" s="134">
        <v>43876</v>
      </c>
      <c r="O160" s="157" t="s">
        <v>299</v>
      </c>
      <c r="P160" s="157" t="s">
        <v>338</v>
      </c>
      <c r="Q160" s="125"/>
      <c r="R160" s="101">
        <v>8700000</v>
      </c>
      <c r="S160" s="182" t="s">
        <v>386</v>
      </c>
      <c r="T160" s="102"/>
      <c r="U160" s="253" t="s">
        <v>181</v>
      </c>
      <c r="V160" s="302">
        <v>8520</v>
      </c>
      <c r="W160" s="332">
        <v>43853</v>
      </c>
      <c r="X160" s="174">
        <v>8700000</v>
      </c>
      <c r="Y160" s="174">
        <v>8700000</v>
      </c>
      <c r="Z160" s="352">
        <v>0</v>
      </c>
      <c r="AA160" s="352">
        <f t="shared" si="6"/>
        <v>0</v>
      </c>
      <c r="AB160" s="352">
        <f t="shared" si="7"/>
        <v>0</v>
      </c>
      <c r="AC160" s="352" t="str">
        <f t="shared" si="8"/>
        <v>0</v>
      </c>
      <c r="AD160" s="352">
        <f t="shared" si="9"/>
        <v>0</v>
      </c>
      <c r="AG160" s="273"/>
      <c r="AH160" s="273"/>
    </row>
    <row r="161" spans="2:34" ht="30" customHeight="1" x14ac:dyDescent="0.2">
      <c r="B161" s="682"/>
      <c r="C161" s="683"/>
      <c r="D161" s="683"/>
      <c r="E161" s="683"/>
      <c r="F161" s="683"/>
      <c r="G161" s="683"/>
      <c r="H161" s="683"/>
      <c r="I161" s="683"/>
      <c r="J161" s="683"/>
      <c r="K161" s="99">
        <v>82112200</v>
      </c>
      <c r="L161" s="100" t="s">
        <v>233</v>
      </c>
      <c r="M161" s="134">
        <v>43966</v>
      </c>
      <c r="N161" s="134">
        <v>43997</v>
      </c>
      <c r="O161" s="157" t="s">
        <v>311</v>
      </c>
      <c r="P161" s="157" t="s">
        <v>319</v>
      </c>
      <c r="Q161" s="125"/>
      <c r="R161" s="101">
        <v>20000000</v>
      </c>
      <c r="S161" s="182" t="s">
        <v>386</v>
      </c>
      <c r="T161" s="102"/>
      <c r="U161" s="253" t="s">
        <v>181</v>
      </c>
      <c r="V161" s="302"/>
      <c r="W161" s="332"/>
      <c r="X161" s="174"/>
      <c r="Y161" s="174"/>
      <c r="Z161" s="352"/>
      <c r="AA161" s="352">
        <f t="shared" si="6"/>
        <v>20000000</v>
      </c>
      <c r="AB161" s="352">
        <f t="shared" si="7"/>
        <v>-20000000</v>
      </c>
      <c r="AC161" s="352" t="str">
        <f t="shared" si="8"/>
        <v>0</v>
      </c>
      <c r="AD161" s="352">
        <f t="shared" si="9"/>
        <v>0</v>
      </c>
      <c r="AG161" s="273"/>
      <c r="AH161" s="273"/>
    </row>
    <row r="162" spans="2:34" ht="15" customHeight="1" x14ac:dyDescent="0.2">
      <c r="B162" s="682"/>
      <c r="C162" s="683"/>
      <c r="D162" s="683"/>
      <c r="E162" s="683"/>
      <c r="F162" s="683"/>
      <c r="G162" s="683"/>
      <c r="H162" s="683"/>
      <c r="I162" s="683"/>
      <c r="J162" s="683"/>
      <c r="K162" s="99">
        <v>82112200</v>
      </c>
      <c r="L162" s="100" t="s">
        <v>177</v>
      </c>
      <c r="M162" s="134">
        <v>44013</v>
      </c>
      <c r="N162" s="134">
        <v>44044</v>
      </c>
      <c r="O162" s="157" t="s">
        <v>301</v>
      </c>
      <c r="P162" s="157" t="s">
        <v>319</v>
      </c>
      <c r="Q162" s="125"/>
      <c r="R162" s="101">
        <v>35000000</v>
      </c>
      <c r="S162" s="182" t="s">
        <v>386</v>
      </c>
      <c r="T162" s="102"/>
      <c r="U162" s="253" t="s">
        <v>181</v>
      </c>
      <c r="V162" s="302"/>
      <c r="W162" s="332"/>
      <c r="X162" s="174"/>
      <c r="Y162" s="174"/>
      <c r="Z162" s="352"/>
      <c r="AA162" s="352">
        <f t="shared" si="6"/>
        <v>35000000</v>
      </c>
      <c r="AB162" s="352">
        <f t="shared" si="7"/>
        <v>-35000000</v>
      </c>
      <c r="AC162" s="352" t="str">
        <f t="shared" si="8"/>
        <v>0</v>
      </c>
      <c r="AD162" s="352">
        <f t="shared" si="9"/>
        <v>0</v>
      </c>
      <c r="AG162" s="273"/>
      <c r="AH162" s="273"/>
    </row>
    <row r="163" spans="2:34" ht="30" customHeight="1" x14ac:dyDescent="0.2">
      <c r="B163" s="682"/>
      <c r="C163" s="683"/>
      <c r="D163" s="683"/>
      <c r="E163" s="683"/>
      <c r="F163" s="683"/>
      <c r="G163" s="683"/>
      <c r="H163" s="683"/>
      <c r="I163" s="683"/>
      <c r="J163" s="683"/>
      <c r="K163" s="99">
        <v>43222501</v>
      </c>
      <c r="L163" s="100" t="s">
        <v>180</v>
      </c>
      <c r="M163" s="134">
        <v>43845</v>
      </c>
      <c r="N163" s="134">
        <v>43876</v>
      </c>
      <c r="O163" s="157" t="s">
        <v>299</v>
      </c>
      <c r="P163" s="157" t="s">
        <v>319</v>
      </c>
      <c r="Q163" s="125"/>
      <c r="R163" s="101">
        <v>60000000</v>
      </c>
      <c r="S163" s="182" t="s">
        <v>386</v>
      </c>
      <c r="T163" s="102"/>
      <c r="U163" s="253" t="s">
        <v>181</v>
      </c>
      <c r="V163" s="302">
        <v>7920</v>
      </c>
      <c r="W163" s="332">
        <v>43852</v>
      </c>
      <c r="X163" s="174">
        <v>60000000</v>
      </c>
      <c r="Y163" s="174">
        <v>60000000</v>
      </c>
      <c r="Z163" s="352">
        <v>48504400</v>
      </c>
      <c r="AA163" s="352">
        <f t="shared" si="6"/>
        <v>0</v>
      </c>
      <c r="AB163" s="352">
        <f t="shared" si="7"/>
        <v>48504400</v>
      </c>
      <c r="AC163" s="352">
        <f t="shared" si="8"/>
        <v>11495600</v>
      </c>
      <c r="AD163" s="352">
        <f t="shared" si="9"/>
        <v>48504400</v>
      </c>
      <c r="AG163" s="273"/>
      <c r="AH163" s="273"/>
    </row>
    <row r="164" spans="2:34" ht="15" customHeight="1" x14ac:dyDescent="0.2">
      <c r="B164" s="682"/>
      <c r="C164" s="683"/>
      <c r="D164" s="683"/>
      <c r="E164" s="683"/>
      <c r="F164" s="683"/>
      <c r="G164" s="683"/>
      <c r="H164" s="683"/>
      <c r="I164" s="683"/>
      <c r="J164" s="683"/>
      <c r="K164" s="99">
        <v>81112000</v>
      </c>
      <c r="L164" s="178" t="s">
        <v>313</v>
      </c>
      <c r="M164" s="134">
        <v>43862</v>
      </c>
      <c r="N164" s="134">
        <v>43891</v>
      </c>
      <c r="O164" s="157" t="s">
        <v>305</v>
      </c>
      <c r="P164" s="157" t="s">
        <v>318</v>
      </c>
      <c r="Q164" s="125"/>
      <c r="R164" s="101">
        <v>5500000</v>
      </c>
      <c r="S164" s="182" t="s">
        <v>386</v>
      </c>
      <c r="T164" s="102"/>
      <c r="U164" s="253" t="s">
        <v>222</v>
      </c>
      <c r="V164" s="302"/>
      <c r="W164" s="332"/>
      <c r="X164" s="174"/>
      <c r="Y164" s="174"/>
      <c r="Z164" s="352"/>
      <c r="AA164" s="352">
        <f t="shared" si="6"/>
        <v>5500000</v>
      </c>
      <c r="AB164" s="352">
        <f t="shared" si="7"/>
        <v>-5500000</v>
      </c>
      <c r="AC164" s="352" t="str">
        <f t="shared" si="8"/>
        <v>0</v>
      </c>
      <c r="AD164" s="352">
        <f t="shared" si="9"/>
        <v>0</v>
      </c>
      <c r="AG164" s="273"/>
      <c r="AH164" s="273"/>
    </row>
    <row r="165" spans="2:34" ht="15" customHeight="1" x14ac:dyDescent="0.2">
      <c r="B165" s="682"/>
      <c r="C165" s="683"/>
      <c r="D165" s="683"/>
      <c r="E165" s="683"/>
      <c r="F165" s="683"/>
      <c r="G165" s="683"/>
      <c r="H165" s="683"/>
      <c r="I165" s="683"/>
      <c r="J165" s="683"/>
      <c r="K165" s="99">
        <v>81112000</v>
      </c>
      <c r="L165" s="178" t="s">
        <v>314</v>
      </c>
      <c r="M165" s="134">
        <v>43862</v>
      </c>
      <c r="N165" s="134">
        <v>43891</v>
      </c>
      <c r="O165" s="157" t="s">
        <v>305</v>
      </c>
      <c r="P165" s="157" t="s">
        <v>318</v>
      </c>
      <c r="Q165" s="125"/>
      <c r="R165" s="101">
        <v>6600000</v>
      </c>
      <c r="S165" s="182" t="s">
        <v>386</v>
      </c>
      <c r="T165" s="102"/>
      <c r="U165" s="253" t="s">
        <v>222</v>
      </c>
      <c r="V165" s="302"/>
      <c r="W165" s="332"/>
      <c r="X165" s="174"/>
      <c r="Y165" s="174"/>
      <c r="Z165" s="352"/>
      <c r="AA165" s="352">
        <f t="shared" si="6"/>
        <v>6600000</v>
      </c>
      <c r="AB165" s="352">
        <f t="shared" si="7"/>
        <v>-6600000</v>
      </c>
      <c r="AC165" s="352" t="str">
        <f t="shared" si="8"/>
        <v>0</v>
      </c>
      <c r="AD165" s="352">
        <f t="shared" si="9"/>
        <v>0</v>
      </c>
      <c r="AG165" s="273"/>
      <c r="AH165" s="273"/>
    </row>
    <row r="166" spans="2:34" ht="17.649999999999999" customHeight="1" x14ac:dyDescent="0.2">
      <c r="B166" s="11" t="s">
        <v>7</v>
      </c>
      <c r="C166" s="4" t="s">
        <v>20</v>
      </c>
      <c r="D166" s="4" t="s">
        <v>20</v>
      </c>
      <c r="E166" s="4" t="s">
        <v>20</v>
      </c>
      <c r="F166" s="4" t="s">
        <v>16</v>
      </c>
      <c r="G166" s="4" t="s">
        <v>11</v>
      </c>
      <c r="H166" s="4" t="s">
        <v>8</v>
      </c>
      <c r="I166" s="4" t="s">
        <v>33</v>
      </c>
      <c r="J166" s="197"/>
      <c r="K166" s="11"/>
      <c r="L166" s="6" t="s">
        <v>99</v>
      </c>
      <c r="M166" s="6"/>
      <c r="N166" s="133"/>
      <c r="O166" s="156"/>
      <c r="P166" s="156"/>
      <c r="Q166" s="125">
        <v>48400000</v>
      </c>
      <c r="R166" s="5">
        <f>SUM(R167:R167)</f>
        <v>48400000</v>
      </c>
      <c r="S166" s="181"/>
      <c r="T166" s="9"/>
      <c r="U166" s="245"/>
      <c r="V166" s="301"/>
      <c r="W166" s="331"/>
      <c r="X166" s="5"/>
      <c r="Y166" s="5"/>
      <c r="Z166" s="355"/>
      <c r="AA166" s="355"/>
      <c r="AB166" s="355"/>
      <c r="AC166" s="355"/>
      <c r="AD166" s="355"/>
      <c r="AG166" s="273"/>
      <c r="AH166" s="273"/>
    </row>
    <row r="167" spans="2:34" ht="30" customHeight="1" x14ac:dyDescent="0.2">
      <c r="B167" s="677"/>
      <c r="C167" s="678"/>
      <c r="D167" s="678"/>
      <c r="E167" s="678"/>
      <c r="F167" s="678"/>
      <c r="G167" s="678"/>
      <c r="H167" s="678"/>
      <c r="I167" s="678"/>
      <c r="J167" s="678"/>
      <c r="K167" s="99">
        <v>81111500</v>
      </c>
      <c r="L167" s="100" t="s">
        <v>179</v>
      </c>
      <c r="M167" s="134">
        <v>43469</v>
      </c>
      <c r="N167" s="134">
        <v>43845</v>
      </c>
      <c r="O167" s="157" t="s">
        <v>305</v>
      </c>
      <c r="P167" s="157" t="s">
        <v>374</v>
      </c>
      <c r="Q167" s="125"/>
      <c r="R167" s="101">
        <v>48400000</v>
      </c>
      <c r="S167" s="182" t="s">
        <v>386</v>
      </c>
      <c r="T167" s="102"/>
      <c r="U167" s="253" t="s">
        <v>181</v>
      </c>
      <c r="V167" s="302">
        <v>1720</v>
      </c>
      <c r="W167" s="332">
        <v>43833</v>
      </c>
      <c r="X167" s="174">
        <v>48400000</v>
      </c>
      <c r="Y167" s="174">
        <v>48400000</v>
      </c>
      <c r="Z167" s="352">
        <v>48400000</v>
      </c>
      <c r="AA167" s="352">
        <f>+R167-Y167</f>
        <v>0</v>
      </c>
      <c r="AB167" s="352">
        <f>+Z167-AA167</f>
        <v>48400000</v>
      </c>
      <c r="AC167" s="352">
        <f>IF(Z167=0,"0",IF(Z167&gt;0,Y167-Z167,))</f>
        <v>0</v>
      </c>
      <c r="AD167" s="352">
        <f t="shared" si="9"/>
        <v>48400000</v>
      </c>
      <c r="AG167" s="273"/>
      <c r="AH167" s="273"/>
    </row>
    <row r="168" spans="2:34" ht="15" customHeight="1" x14ac:dyDescent="0.2">
      <c r="B168" s="11" t="s">
        <v>7</v>
      </c>
      <c r="C168" s="4" t="s">
        <v>20</v>
      </c>
      <c r="D168" s="4" t="s">
        <v>20</v>
      </c>
      <c r="E168" s="4" t="s">
        <v>20</v>
      </c>
      <c r="F168" s="4" t="s">
        <v>16</v>
      </c>
      <c r="G168" s="4" t="s">
        <v>11</v>
      </c>
      <c r="H168" s="4" t="s">
        <v>8</v>
      </c>
      <c r="I168" s="4" t="s">
        <v>35</v>
      </c>
      <c r="J168" s="197"/>
      <c r="K168" s="11"/>
      <c r="L168" s="6" t="s">
        <v>100</v>
      </c>
      <c r="M168" s="6"/>
      <c r="N168" s="133"/>
      <c r="O168" s="156"/>
      <c r="P168" s="156"/>
      <c r="Q168" s="125">
        <v>23000000</v>
      </c>
      <c r="R168" s="5">
        <f>SUM(R169:R169)</f>
        <v>200000000</v>
      </c>
      <c r="S168" s="181"/>
      <c r="T168" s="9"/>
      <c r="U168" s="245"/>
      <c r="V168" s="301"/>
      <c r="W168" s="331"/>
      <c r="X168" s="5"/>
      <c r="Y168" s="5"/>
      <c r="Z168" s="355"/>
      <c r="AA168" s="355"/>
      <c r="AB168" s="355"/>
      <c r="AC168" s="355"/>
      <c r="AD168" s="355"/>
      <c r="AG168" s="273"/>
      <c r="AH168" s="273"/>
    </row>
    <row r="169" spans="2:34" ht="30" customHeight="1" x14ac:dyDescent="0.2">
      <c r="B169" s="677"/>
      <c r="C169" s="678"/>
      <c r="D169" s="678"/>
      <c r="E169" s="678"/>
      <c r="F169" s="678"/>
      <c r="G169" s="678"/>
      <c r="H169" s="678"/>
      <c r="I169" s="678"/>
      <c r="J169" s="678"/>
      <c r="K169" s="99">
        <v>81111500</v>
      </c>
      <c r="L169" s="100" t="s">
        <v>178</v>
      </c>
      <c r="M169" s="134">
        <v>43468</v>
      </c>
      <c r="N169" s="134">
        <v>43497</v>
      </c>
      <c r="O169" s="157" t="s">
        <v>307</v>
      </c>
      <c r="P169" s="157" t="s">
        <v>319</v>
      </c>
      <c r="Q169" s="125"/>
      <c r="R169" s="101">
        <v>200000000</v>
      </c>
      <c r="S169" s="182" t="s">
        <v>386</v>
      </c>
      <c r="T169" s="102"/>
      <c r="U169" s="253" t="s">
        <v>181</v>
      </c>
      <c r="V169" s="302">
        <v>1620</v>
      </c>
      <c r="W169" s="332">
        <v>43833</v>
      </c>
      <c r="X169" s="174">
        <v>200000000</v>
      </c>
      <c r="Y169" s="174">
        <v>200000000</v>
      </c>
      <c r="Z169" s="352">
        <v>160828500</v>
      </c>
      <c r="AA169" s="352">
        <f>+R169-Y169</f>
        <v>0</v>
      </c>
      <c r="AB169" s="352">
        <f>+Z169-AA169</f>
        <v>160828500</v>
      </c>
      <c r="AC169" s="352">
        <f>IF(Z169=0,"0",IF(Z169&gt;0,Y169-Z169,))</f>
        <v>39171500</v>
      </c>
      <c r="AD169" s="352">
        <f t="shared" si="9"/>
        <v>160828500</v>
      </c>
      <c r="AG169" s="273"/>
      <c r="AH169" s="273"/>
    </row>
    <row r="170" spans="2:34" ht="18.2" customHeight="1" x14ac:dyDescent="0.2">
      <c r="B170" s="91" t="s">
        <v>7</v>
      </c>
      <c r="C170" s="92" t="s">
        <v>20</v>
      </c>
      <c r="D170" s="92" t="s">
        <v>20</v>
      </c>
      <c r="E170" s="92" t="s">
        <v>20</v>
      </c>
      <c r="F170" s="92" t="s">
        <v>16</v>
      </c>
      <c r="G170" s="92" t="s">
        <v>12</v>
      </c>
      <c r="H170" s="92"/>
      <c r="I170" s="92"/>
      <c r="J170" s="196"/>
      <c r="K170" s="91"/>
      <c r="L170" s="93" t="s">
        <v>101</v>
      </c>
      <c r="M170" s="93"/>
      <c r="N170" s="132"/>
      <c r="O170" s="155"/>
      <c r="P170" s="155"/>
      <c r="Q170" s="125">
        <f>+Q171+Q175</f>
        <v>58900000</v>
      </c>
      <c r="R170" s="94">
        <f>+R171+R175</f>
        <v>58900000</v>
      </c>
      <c r="S170" s="92"/>
      <c r="T170" s="95"/>
      <c r="U170" s="244"/>
      <c r="V170" s="300"/>
      <c r="W170" s="330"/>
      <c r="X170" s="94"/>
      <c r="Y170" s="94"/>
      <c r="Z170" s="354"/>
      <c r="AA170" s="354"/>
      <c r="AB170" s="354"/>
      <c r="AC170" s="354"/>
      <c r="AD170" s="354"/>
      <c r="AG170" s="273"/>
      <c r="AH170" s="273"/>
    </row>
    <row r="171" spans="2:34" ht="15" customHeight="1" x14ac:dyDescent="0.2">
      <c r="B171" s="11" t="s">
        <v>7</v>
      </c>
      <c r="C171" s="4" t="s">
        <v>20</v>
      </c>
      <c r="D171" s="4" t="s">
        <v>20</v>
      </c>
      <c r="E171" s="4" t="s">
        <v>20</v>
      </c>
      <c r="F171" s="4" t="s">
        <v>16</v>
      </c>
      <c r="G171" s="4" t="s">
        <v>12</v>
      </c>
      <c r="H171" s="4" t="s">
        <v>8</v>
      </c>
      <c r="I171" s="4"/>
      <c r="J171" s="197"/>
      <c r="K171" s="11"/>
      <c r="L171" s="6" t="s">
        <v>102</v>
      </c>
      <c r="M171" s="6"/>
      <c r="N171" s="133"/>
      <c r="O171" s="156"/>
      <c r="P171" s="156"/>
      <c r="Q171" s="125">
        <v>43900000</v>
      </c>
      <c r="R171" s="5">
        <f>SUM(R172:R174)</f>
        <v>43900000</v>
      </c>
      <c r="S171" s="181"/>
      <c r="T171" s="9"/>
      <c r="U171" s="245"/>
      <c r="V171" s="301"/>
      <c r="W171" s="331"/>
      <c r="X171" s="5"/>
      <c r="Y171" s="5"/>
      <c r="Z171" s="355"/>
      <c r="AA171" s="355"/>
      <c r="AB171" s="355"/>
      <c r="AC171" s="355"/>
      <c r="AD171" s="355"/>
      <c r="AG171" s="273"/>
      <c r="AH171" s="273"/>
    </row>
    <row r="172" spans="2:34" ht="45" customHeight="1" x14ac:dyDescent="0.2">
      <c r="B172" s="677"/>
      <c r="C172" s="678"/>
      <c r="D172" s="678"/>
      <c r="E172" s="678"/>
      <c r="F172" s="678"/>
      <c r="G172" s="678"/>
      <c r="H172" s="678"/>
      <c r="I172" s="678"/>
      <c r="J172" s="678"/>
      <c r="K172" s="99"/>
      <c r="L172" s="100" t="s">
        <v>262</v>
      </c>
      <c r="M172" s="157" t="s">
        <v>375</v>
      </c>
      <c r="N172" s="134">
        <v>43832</v>
      </c>
      <c r="O172" s="157" t="s">
        <v>301</v>
      </c>
      <c r="P172" s="157" t="s">
        <v>375</v>
      </c>
      <c r="Q172" s="125"/>
      <c r="R172" s="101">
        <v>30000000</v>
      </c>
      <c r="S172" s="182" t="s">
        <v>386</v>
      </c>
      <c r="T172" s="102"/>
      <c r="U172" s="253" t="s">
        <v>271</v>
      </c>
      <c r="V172" s="302" t="s">
        <v>442</v>
      </c>
      <c r="W172" s="332" t="s">
        <v>443</v>
      </c>
      <c r="X172" s="174">
        <f>3024415.35+1820534.25+16343618.13</f>
        <v>21188567.73</v>
      </c>
      <c r="Y172" s="174">
        <f>3024415.35+1820534.25+16343618.13</f>
        <v>21188567.73</v>
      </c>
      <c r="Z172" s="174">
        <f>3024415.35+1820534.25+16343618.13</f>
        <v>21188567.73</v>
      </c>
      <c r="AA172" s="352">
        <f>+R172-Y172</f>
        <v>8811432.2699999996</v>
      </c>
      <c r="AB172" s="352">
        <f>+Z172-AA172</f>
        <v>12377135.460000001</v>
      </c>
      <c r="AC172" s="352">
        <f>IF(Z172=0,"0",IF(Z172&gt;0,Y172-Z172,))</f>
        <v>0</v>
      </c>
      <c r="AD172" s="352">
        <f t="shared" ref="AD172:AD177" si="10">+R172+-Y172+AB172</f>
        <v>21188567.73</v>
      </c>
      <c r="AG172" s="273"/>
      <c r="AH172" s="273"/>
    </row>
    <row r="173" spans="2:34" ht="45" customHeight="1" x14ac:dyDescent="0.2">
      <c r="B173" s="682"/>
      <c r="C173" s="683"/>
      <c r="D173" s="683"/>
      <c r="E173" s="683"/>
      <c r="F173" s="683"/>
      <c r="G173" s="683"/>
      <c r="H173" s="683"/>
      <c r="I173" s="683"/>
      <c r="J173" s="683"/>
      <c r="K173" s="99"/>
      <c r="L173" s="100" t="s">
        <v>263</v>
      </c>
      <c r="M173" s="157" t="s">
        <v>375</v>
      </c>
      <c r="N173" s="134">
        <v>43832</v>
      </c>
      <c r="O173" s="157" t="s">
        <v>301</v>
      </c>
      <c r="P173" s="157" t="s">
        <v>375</v>
      </c>
      <c r="Q173" s="125"/>
      <c r="R173" s="101">
        <v>10000000</v>
      </c>
      <c r="S173" s="182" t="s">
        <v>386</v>
      </c>
      <c r="T173" s="102"/>
      <c r="U173" s="253" t="s">
        <v>271</v>
      </c>
      <c r="V173" s="302">
        <v>10520</v>
      </c>
      <c r="W173" s="332">
        <v>43864</v>
      </c>
      <c r="X173" s="174">
        <v>1644340</v>
      </c>
      <c r="Y173" s="174">
        <v>1644340</v>
      </c>
      <c r="Z173" s="352">
        <v>1644340</v>
      </c>
      <c r="AA173" s="352">
        <f>+R173-Y173</f>
        <v>8355660</v>
      </c>
      <c r="AB173" s="352">
        <f>+Z173-AA173</f>
        <v>-6711320</v>
      </c>
      <c r="AC173" s="352">
        <f>IF(Z173=0,"0",IF(Z173&gt;0,Y173-Z173,))</f>
        <v>0</v>
      </c>
      <c r="AD173" s="352">
        <f t="shared" si="10"/>
        <v>1644340</v>
      </c>
      <c r="AG173" s="273"/>
      <c r="AH173" s="273"/>
    </row>
    <row r="174" spans="2:34" ht="15" customHeight="1" x14ac:dyDescent="0.2">
      <c r="B174" s="682"/>
      <c r="C174" s="683"/>
      <c r="D174" s="683"/>
      <c r="E174" s="683"/>
      <c r="F174" s="683"/>
      <c r="G174" s="683"/>
      <c r="H174" s="683"/>
      <c r="I174" s="683"/>
      <c r="J174" s="683"/>
      <c r="K174" s="113"/>
      <c r="L174" s="114" t="s">
        <v>264</v>
      </c>
      <c r="M174" s="114"/>
      <c r="N174" s="137"/>
      <c r="O174" s="160"/>
      <c r="P174" s="160"/>
      <c r="Q174" s="125"/>
      <c r="R174" s="115">
        <v>3900000</v>
      </c>
      <c r="S174" s="187"/>
      <c r="T174" s="116"/>
      <c r="U174" s="256"/>
      <c r="V174" s="302"/>
      <c r="W174" s="332"/>
      <c r="X174" s="174"/>
      <c r="Y174" s="174"/>
      <c r="Z174" s="352"/>
      <c r="AA174" s="352">
        <f>+R174-Y174</f>
        <v>3900000</v>
      </c>
      <c r="AB174" s="352">
        <f>+Z174-AA174</f>
        <v>-3900000</v>
      </c>
      <c r="AC174" s="352" t="str">
        <f>IF(Z174=0,"0",IF(Z174&gt;0,Y174-Z174,))</f>
        <v>0</v>
      </c>
      <c r="AD174" s="352">
        <f t="shared" si="10"/>
        <v>0</v>
      </c>
      <c r="AG174" s="273"/>
      <c r="AH174" s="273"/>
    </row>
    <row r="175" spans="2:34" ht="15" customHeight="1" x14ac:dyDescent="0.2">
      <c r="B175" s="11" t="s">
        <v>7</v>
      </c>
      <c r="C175" s="4" t="s">
        <v>20</v>
      </c>
      <c r="D175" s="4" t="s">
        <v>20</v>
      </c>
      <c r="E175" s="4" t="s">
        <v>20</v>
      </c>
      <c r="F175" s="4" t="s">
        <v>16</v>
      </c>
      <c r="G175" s="4" t="s">
        <v>12</v>
      </c>
      <c r="H175" s="4" t="s">
        <v>20</v>
      </c>
      <c r="I175" s="4"/>
      <c r="J175" s="197"/>
      <c r="K175" s="11"/>
      <c r="L175" s="6" t="s">
        <v>103</v>
      </c>
      <c r="M175" s="6"/>
      <c r="N175" s="133"/>
      <c r="O175" s="156"/>
      <c r="P175" s="156"/>
      <c r="Q175" s="125">
        <v>15000000</v>
      </c>
      <c r="R175" s="5">
        <f>SUM(R176:R177)</f>
        <v>15000000</v>
      </c>
      <c r="S175" s="181"/>
      <c r="T175" s="9"/>
      <c r="U175" s="245"/>
      <c r="V175" s="301"/>
      <c r="W175" s="331"/>
      <c r="X175" s="5"/>
      <c r="Y175" s="5"/>
      <c r="Z175" s="355"/>
      <c r="AA175" s="355"/>
      <c r="AB175" s="355"/>
      <c r="AC175" s="355"/>
      <c r="AD175" s="355"/>
      <c r="AG175" s="273"/>
      <c r="AH175" s="273"/>
    </row>
    <row r="176" spans="2:34" ht="30" customHeight="1" x14ac:dyDescent="0.2">
      <c r="B176" s="677"/>
      <c r="C176" s="678"/>
      <c r="D176" s="678"/>
      <c r="E176" s="678"/>
      <c r="F176" s="678"/>
      <c r="G176" s="678"/>
      <c r="H176" s="678"/>
      <c r="I176" s="678"/>
      <c r="J176" s="678"/>
      <c r="K176" s="109">
        <v>81112100</v>
      </c>
      <c r="L176" s="110" t="s">
        <v>230</v>
      </c>
      <c r="M176" s="110"/>
      <c r="N176" s="135"/>
      <c r="O176" s="158"/>
      <c r="P176" s="158"/>
      <c r="Q176" s="125"/>
      <c r="R176" s="111">
        <v>9520000</v>
      </c>
      <c r="S176" s="184"/>
      <c r="T176" s="112"/>
      <c r="U176" s="254" t="s">
        <v>181</v>
      </c>
      <c r="V176" s="302">
        <v>3520</v>
      </c>
      <c r="W176" s="332">
        <v>43844</v>
      </c>
      <c r="X176" s="174">
        <v>3090430</v>
      </c>
      <c r="Y176" s="174">
        <v>3090430</v>
      </c>
      <c r="Z176" s="352">
        <v>3090430</v>
      </c>
      <c r="AA176" s="352">
        <f>+R176-Y176</f>
        <v>6429570</v>
      </c>
      <c r="AB176" s="352">
        <f>+Z176-AA176</f>
        <v>-3339140</v>
      </c>
      <c r="AC176" s="352">
        <f>IF(Z176=0,"0",IF(Z176&gt;0,Y176-Z176,))</f>
        <v>0</v>
      </c>
      <c r="AD176" s="352">
        <f t="shared" si="10"/>
        <v>3090430</v>
      </c>
      <c r="AG176" s="273"/>
      <c r="AH176" s="273"/>
    </row>
    <row r="177" spans="2:34" ht="30" customHeight="1" x14ac:dyDescent="0.2">
      <c r="B177" s="682"/>
      <c r="C177" s="683"/>
      <c r="D177" s="683"/>
      <c r="E177" s="683"/>
      <c r="F177" s="683"/>
      <c r="G177" s="683"/>
      <c r="H177" s="683"/>
      <c r="I177" s="683"/>
      <c r="J177" s="683"/>
      <c r="K177" s="99">
        <v>81112100</v>
      </c>
      <c r="L177" s="100" t="s">
        <v>231</v>
      </c>
      <c r="M177" s="134">
        <v>43952</v>
      </c>
      <c r="N177" s="134">
        <v>43983</v>
      </c>
      <c r="O177" s="157" t="s">
        <v>311</v>
      </c>
      <c r="P177" s="157" t="s">
        <v>384</v>
      </c>
      <c r="Q177" s="125"/>
      <c r="R177" s="101">
        <v>5480000</v>
      </c>
      <c r="S177" s="182" t="s">
        <v>322</v>
      </c>
      <c r="T177" s="101">
        <v>7900000</v>
      </c>
      <c r="U177" s="253" t="s">
        <v>181</v>
      </c>
      <c r="V177" s="302"/>
      <c r="W177" s="332"/>
      <c r="X177" s="174"/>
      <c r="Y177" s="174"/>
      <c r="Z177" s="352"/>
      <c r="AA177" s="352">
        <f>+R177-Y177</f>
        <v>5480000</v>
      </c>
      <c r="AB177" s="352">
        <f>+Z177-AA177</f>
        <v>-5480000</v>
      </c>
      <c r="AC177" s="352" t="str">
        <f>IF(Z177=0,"0",IF(Z177&gt;0,Y177-Z177,))</f>
        <v>0</v>
      </c>
      <c r="AD177" s="352">
        <f t="shared" si="10"/>
        <v>0</v>
      </c>
      <c r="AG177" s="273"/>
      <c r="AH177" s="273"/>
    </row>
    <row r="178" spans="2:34" ht="30" customHeight="1" x14ac:dyDescent="0.2">
      <c r="B178" s="91" t="s">
        <v>7</v>
      </c>
      <c r="C178" s="92" t="s">
        <v>20</v>
      </c>
      <c r="D178" s="92" t="s">
        <v>20</v>
      </c>
      <c r="E178" s="92" t="s">
        <v>20</v>
      </c>
      <c r="F178" s="92" t="s">
        <v>16</v>
      </c>
      <c r="G178" s="92" t="s">
        <v>15</v>
      </c>
      <c r="H178" s="92"/>
      <c r="I178" s="92"/>
      <c r="J178" s="196"/>
      <c r="K178" s="91"/>
      <c r="L178" s="93" t="s">
        <v>106</v>
      </c>
      <c r="M178" s="93"/>
      <c r="N178" s="132"/>
      <c r="O178" s="155"/>
      <c r="P178" s="155"/>
      <c r="Q178" s="125">
        <f>+Q179</f>
        <v>266000000</v>
      </c>
      <c r="R178" s="94">
        <f>+R179</f>
        <v>180200000</v>
      </c>
      <c r="S178" s="92"/>
      <c r="T178" s="95"/>
      <c r="U178" s="244"/>
      <c r="V178" s="300"/>
      <c r="W178" s="330"/>
      <c r="X178" s="94"/>
      <c r="Y178" s="94"/>
      <c r="Z178" s="354"/>
      <c r="AA178" s="354"/>
      <c r="AB178" s="354"/>
      <c r="AC178" s="354"/>
      <c r="AD178" s="354"/>
      <c r="AG178" s="273"/>
      <c r="AH178" s="273"/>
    </row>
    <row r="179" spans="2:34" ht="30" customHeight="1" x14ac:dyDescent="0.2">
      <c r="B179" s="11" t="s">
        <v>7</v>
      </c>
      <c r="C179" s="4" t="s">
        <v>20</v>
      </c>
      <c r="D179" s="4" t="s">
        <v>20</v>
      </c>
      <c r="E179" s="4" t="s">
        <v>20</v>
      </c>
      <c r="F179" s="4" t="s">
        <v>16</v>
      </c>
      <c r="G179" s="4" t="s">
        <v>15</v>
      </c>
      <c r="H179" s="4" t="s">
        <v>8</v>
      </c>
      <c r="I179" s="4"/>
      <c r="J179" s="197"/>
      <c r="K179" s="11"/>
      <c r="L179" s="6" t="s">
        <v>107</v>
      </c>
      <c r="M179" s="6"/>
      <c r="N179" s="133"/>
      <c r="O179" s="156"/>
      <c r="P179" s="156"/>
      <c r="Q179" s="125">
        <f>+Q180+Q182+Q189</f>
        <v>266000000</v>
      </c>
      <c r="R179" s="5">
        <f>+R180+R182+R189</f>
        <v>180200000</v>
      </c>
      <c r="S179" s="181"/>
      <c r="T179" s="9"/>
      <c r="U179" s="245"/>
      <c r="V179" s="301"/>
      <c r="W179" s="331"/>
      <c r="X179" s="5"/>
      <c r="Y179" s="5"/>
      <c r="Z179" s="355"/>
      <c r="AA179" s="355"/>
      <c r="AB179" s="355"/>
      <c r="AC179" s="355"/>
      <c r="AD179" s="355"/>
      <c r="AG179" s="273"/>
      <c r="AH179" s="273"/>
    </row>
    <row r="180" spans="2:34" ht="30" customHeight="1" x14ac:dyDescent="0.2">
      <c r="B180" s="11" t="s">
        <v>7</v>
      </c>
      <c r="C180" s="4" t="s">
        <v>20</v>
      </c>
      <c r="D180" s="4" t="s">
        <v>20</v>
      </c>
      <c r="E180" s="4" t="s">
        <v>20</v>
      </c>
      <c r="F180" s="4" t="s">
        <v>16</v>
      </c>
      <c r="G180" s="4" t="s">
        <v>15</v>
      </c>
      <c r="H180" s="4" t="s">
        <v>8</v>
      </c>
      <c r="I180" s="4" t="s">
        <v>32</v>
      </c>
      <c r="J180" s="197"/>
      <c r="K180" s="11"/>
      <c r="L180" s="6" t="s">
        <v>136</v>
      </c>
      <c r="M180" s="6"/>
      <c r="N180" s="133"/>
      <c r="O180" s="156"/>
      <c r="P180" s="156"/>
      <c r="Q180" s="125">
        <f>80000000+35000000</f>
        <v>115000000</v>
      </c>
      <c r="R180" s="5">
        <f>SUM(R181:R181)</f>
        <v>80000000</v>
      </c>
      <c r="S180" s="181"/>
      <c r="T180" s="9"/>
      <c r="U180" s="245"/>
      <c r="V180" s="301"/>
      <c r="W180" s="331"/>
      <c r="X180" s="5"/>
      <c r="Y180" s="5"/>
      <c r="Z180" s="355"/>
      <c r="AA180" s="355"/>
      <c r="AB180" s="355"/>
      <c r="AC180" s="355"/>
      <c r="AD180" s="355"/>
      <c r="AG180" s="273"/>
      <c r="AH180" s="273"/>
    </row>
    <row r="181" spans="2:34" ht="60" customHeight="1" x14ac:dyDescent="0.2">
      <c r="B181" s="677"/>
      <c r="C181" s="678"/>
      <c r="D181" s="678"/>
      <c r="E181" s="678"/>
      <c r="F181" s="678"/>
      <c r="G181" s="678"/>
      <c r="H181" s="678"/>
      <c r="I181" s="678"/>
      <c r="J181" s="678"/>
      <c r="K181" s="177" t="s">
        <v>310</v>
      </c>
      <c r="L181" s="100" t="s">
        <v>309</v>
      </c>
      <c r="M181" s="134">
        <v>43834</v>
      </c>
      <c r="N181" s="134">
        <v>43876</v>
      </c>
      <c r="O181" s="157" t="s">
        <v>362</v>
      </c>
      <c r="P181" s="157" t="s">
        <v>319</v>
      </c>
      <c r="Q181" s="125"/>
      <c r="R181" s="101">
        <v>80000000</v>
      </c>
      <c r="S181" s="182" t="s">
        <v>386</v>
      </c>
      <c r="T181" s="102"/>
      <c r="U181" s="253" t="s">
        <v>181</v>
      </c>
      <c r="V181" s="302">
        <v>15820</v>
      </c>
      <c r="W181" s="332">
        <v>43887</v>
      </c>
      <c r="X181" s="174">
        <v>80000000</v>
      </c>
      <c r="Y181" s="174">
        <v>80000000</v>
      </c>
      <c r="Z181" s="352">
        <v>0</v>
      </c>
      <c r="AA181" s="352">
        <f>+R181-Y181</f>
        <v>0</v>
      </c>
      <c r="AB181" s="352">
        <f>+Z181-AA181</f>
        <v>0</v>
      </c>
      <c r="AC181" s="352" t="str">
        <f>IF(Z181=0,"0",IF(Z181&gt;0,Y181-Z181,))</f>
        <v>0</v>
      </c>
      <c r="AD181" s="352">
        <f>+R181+-Y181+AB181</f>
        <v>0</v>
      </c>
      <c r="AG181" s="273"/>
      <c r="AH181" s="273"/>
    </row>
    <row r="182" spans="2:34" ht="30" customHeight="1" x14ac:dyDescent="0.2">
      <c r="B182" s="11" t="s">
        <v>7</v>
      </c>
      <c r="C182" s="4" t="s">
        <v>20</v>
      </c>
      <c r="D182" s="4" t="s">
        <v>20</v>
      </c>
      <c r="E182" s="4" t="s">
        <v>20</v>
      </c>
      <c r="F182" s="4" t="s">
        <v>16</v>
      </c>
      <c r="G182" s="4" t="s">
        <v>15</v>
      </c>
      <c r="H182" s="4" t="s">
        <v>8</v>
      </c>
      <c r="I182" s="4" t="s">
        <v>33</v>
      </c>
      <c r="J182" s="197"/>
      <c r="K182" s="11"/>
      <c r="L182" s="6" t="s">
        <v>137</v>
      </c>
      <c r="M182" s="6"/>
      <c r="N182" s="133"/>
      <c r="O182" s="156"/>
      <c r="P182" s="156"/>
      <c r="Q182" s="125">
        <v>91000000</v>
      </c>
      <c r="R182" s="5">
        <f>SUM(R183:R188)</f>
        <v>97000000</v>
      </c>
      <c r="S182" s="181"/>
      <c r="T182" s="9"/>
      <c r="U182" s="245"/>
      <c r="V182" s="301"/>
      <c r="W182" s="331"/>
      <c r="X182" s="5"/>
      <c r="Y182" s="5"/>
      <c r="Z182" s="355"/>
      <c r="AA182" s="355"/>
      <c r="AB182" s="355"/>
      <c r="AC182" s="355"/>
      <c r="AD182" s="355"/>
      <c r="AG182" s="273"/>
      <c r="AH182" s="273"/>
    </row>
    <row r="183" spans="2:34" ht="72" customHeight="1" x14ac:dyDescent="0.2">
      <c r="B183" s="677"/>
      <c r="C183" s="678"/>
      <c r="D183" s="678"/>
      <c r="E183" s="678"/>
      <c r="F183" s="678"/>
      <c r="G183" s="678"/>
      <c r="H183" s="678"/>
      <c r="I183" s="678"/>
      <c r="J183" s="678"/>
      <c r="K183" s="176" t="s">
        <v>315</v>
      </c>
      <c r="L183" s="179" t="s">
        <v>320</v>
      </c>
      <c r="M183" s="179"/>
      <c r="N183" s="135">
        <v>43983</v>
      </c>
      <c r="O183" s="158" t="s">
        <v>296</v>
      </c>
      <c r="P183" s="158"/>
      <c r="Q183" s="125"/>
      <c r="R183" s="391">
        <v>5869231</v>
      </c>
      <c r="S183" s="184"/>
      <c r="T183" s="112"/>
      <c r="U183" s="254" t="s">
        <v>221</v>
      </c>
      <c r="V183" s="302">
        <v>3320</v>
      </c>
      <c r="W183" s="332">
        <v>43844</v>
      </c>
      <c r="X183" s="174">
        <v>152600000</v>
      </c>
      <c r="Y183" s="174">
        <v>152600000</v>
      </c>
      <c r="Z183" s="352">
        <v>152600000</v>
      </c>
      <c r="AA183" s="352">
        <f t="shared" ref="AA183:AA188" si="11">+R183-Y183</f>
        <v>-146730769</v>
      </c>
      <c r="AB183" s="352">
        <f t="shared" ref="AB183:AB188" si="12">+Z183-AA183</f>
        <v>299330769</v>
      </c>
      <c r="AC183" s="352">
        <f t="shared" ref="AC183:AC188" si="13">IF(Z183=0,"0",IF(Z183&gt;0,Y183-Z183,))</f>
        <v>0</v>
      </c>
      <c r="AD183" s="352">
        <f t="shared" ref="AD183:AD188" si="14">+R183+-Y183+AB183</f>
        <v>152600000</v>
      </c>
      <c r="AG183" s="273"/>
      <c r="AH183" s="273"/>
    </row>
    <row r="184" spans="2:34" ht="72" customHeight="1" x14ac:dyDescent="0.2">
      <c r="B184" s="682"/>
      <c r="C184" s="683"/>
      <c r="D184" s="683"/>
      <c r="E184" s="683"/>
      <c r="F184" s="683"/>
      <c r="G184" s="683"/>
      <c r="H184" s="683"/>
      <c r="I184" s="683"/>
      <c r="J184" s="683"/>
      <c r="K184" s="177" t="s">
        <v>315</v>
      </c>
      <c r="L184" s="178" t="s">
        <v>321</v>
      </c>
      <c r="M184" s="134">
        <v>43952</v>
      </c>
      <c r="N184" s="134">
        <v>43983</v>
      </c>
      <c r="O184" s="157" t="s">
        <v>301</v>
      </c>
      <c r="P184" s="157" t="s">
        <v>317</v>
      </c>
      <c r="Q184" s="125"/>
      <c r="R184" s="101">
        <v>4192769</v>
      </c>
      <c r="S184" s="182" t="s">
        <v>322</v>
      </c>
      <c r="T184" s="101">
        <v>10062700</v>
      </c>
      <c r="U184" s="253" t="s">
        <v>221</v>
      </c>
      <c r="V184" s="302"/>
      <c r="W184" s="332"/>
      <c r="X184" s="174"/>
      <c r="Y184" s="174"/>
      <c r="Z184" s="352"/>
      <c r="AA184" s="352">
        <f t="shared" si="11"/>
        <v>4192769</v>
      </c>
      <c r="AB184" s="352">
        <f t="shared" si="12"/>
        <v>-4192769</v>
      </c>
      <c r="AC184" s="352" t="str">
        <f t="shared" si="13"/>
        <v>0</v>
      </c>
      <c r="AD184" s="352">
        <f t="shared" si="14"/>
        <v>0</v>
      </c>
      <c r="AG184" s="273"/>
      <c r="AH184" s="273"/>
    </row>
    <row r="185" spans="2:34" ht="72" customHeight="1" x14ac:dyDescent="0.2">
      <c r="B185" s="682"/>
      <c r="C185" s="683"/>
      <c r="D185" s="683"/>
      <c r="E185" s="683"/>
      <c r="F185" s="683"/>
      <c r="G185" s="683"/>
      <c r="H185" s="683"/>
      <c r="I185" s="683"/>
      <c r="J185" s="683"/>
      <c r="K185" s="176" t="s">
        <v>316</v>
      </c>
      <c r="L185" s="110" t="s">
        <v>224</v>
      </c>
      <c r="M185" s="110"/>
      <c r="N185" s="135">
        <v>43983</v>
      </c>
      <c r="O185" s="158" t="s">
        <v>296</v>
      </c>
      <c r="P185" s="158"/>
      <c r="Q185" s="125"/>
      <c r="R185" s="111">
        <v>3500000</v>
      </c>
      <c r="S185" s="184"/>
      <c r="T185" s="111"/>
      <c r="U185" s="254" t="s">
        <v>221</v>
      </c>
      <c r="V185" s="302">
        <v>3920</v>
      </c>
      <c r="W185" s="332">
        <v>43844</v>
      </c>
      <c r="X185" s="174">
        <v>3500000</v>
      </c>
      <c r="Y185" s="174">
        <v>3500000</v>
      </c>
      <c r="Z185" s="352">
        <v>3500000</v>
      </c>
      <c r="AA185" s="352">
        <f t="shared" si="11"/>
        <v>0</v>
      </c>
      <c r="AB185" s="352">
        <f t="shared" si="12"/>
        <v>3500000</v>
      </c>
      <c r="AC185" s="352">
        <f t="shared" si="13"/>
        <v>0</v>
      </c>
      <c r="AD185" s="352">
        <f t="shared" si="14"/>
        <v>3500000</v>
      </c>
      <c r="AG185" s="273"/>
      <c r="AH185" s="273"/>
    </row>
    <row r="186" spans="2:34" ht="72" customHeight="1" x14ac:dyDescent="0.2">
      <c r="B186" s="682"/>
      <c r="C186" s="683"/>
      <c r="D186" s="683"/>
      <c r="E186" s="683"/>
      <c r="F186" s="683"/>
      <c r="G186" s="683"/>
      <c r="H186" s="683"/>
      <c r="I186" s="683"/>
      <c r="J186" s="683"/>
      <c r="K186" s="177" t="s">
        <v>316</v>
      </c>
      <c r="L186" s="100" t="s">
        <v>202</v>
      </c>
      <c r="M186" s="134">
        <v>43952</v>
      </c>
      <c r="N186" s="134">
        <v>43983</v>
      </c>
      <c r="O186" s="157" t="s">
        <v>301</v>
      </c>
      <c r="P186" s="157" t="s">
        <v>319</v>
      </c>
      <c r="Q186" s="125"/>
      <c r="R186" s="101">
        <v>2500000</v>
      </c>
      <c r="S186" s="182" t="s">
        <v>322</v>
      </c>
      <c r="T186" s="101">
        <v>6000000</v>
      </c>
      <c r="U186" s="253" t="s">
        <v>221</v>
      </c>
      <c r="V186" s="302">
        <v>27420</v>
      </c>
      <c r="W186" s="332">
        <v>43962</v>
      </c>
      <c r="X186" s="174">
        <v>2500000</v>
      </c>
      <c r="Y186" s="174">
        <v>2500000</v>
      </c>
      <c r="Z186" s="352">
        <v>0</v>
      </c>
      <c r="AA186" s="352">
        <f t="shared" si="11"/>
        <v>0</v>
      </c>
      <c r="AB186" s="352">
        <f t="shared" si="12"/>
        <v>0</v>
      </c>
      <c r="AC186" s="352" t="str">
        <f t="shared" si="13"/>
        <v>0</v>
      </c>
      <c r="AD186" s="352">
        <f t="shared" si="14"/>
        <v>0</v>
      </c>
      <c r="AG186" s="273"/>
      <c r="AH186" s="273"/>
    </row>
    <row r="187" spans="2:34" ht="72" customHeight="1" x14ac:dyDescent="0.2">
      <c r="B187" s="682"/>
      <c r="C187" s="683"/>
      <c r="D187" s="683"/>
      <c r="E187" s="683"/>
      <c r="F187" s="683"/>
      <c r="G187" s="683"/>
      <c r="H187" s="683"/>
      <c r="I187" s="683"/>
      <c r="J187" s="683"/>
      <c r="K187" s="177">
        <v>72154100</v>
      </c>
      <c r="L187" s="100" t="s">
        <v>431</v>
      </c>
      <c r="M187" s="134"/>
      <c r="N187" s="134">
        <v>43937</v>
      </c>
      <c r="O187" s="157" t="s">
        <v>326</v>
      </c>
      <c r="P187" s="157" t="s">
        <v>317</v>
      </c>
      <c r="Q187" s="125"/>
      <c r="R187" s="101">
        <v>6000000</v>
      </c>
      <c r="S187" s="182"/>
      <c r="T187" s="101"/>
      <c r="U187" s="253"/>
      <c r="V187" s="302">
        <v>19220</v>
      </c>
      <c r="W187" s="332">
        <v>43899</v>
      </c>
      <c r="X187" s="174">
        <v>6000000</v>
      </c>
      <c r="Y187" s="174">
        <v>6000000</v>
      </c>
      <c r="Z187" s="352">
        <v>0</v>
      </c>
      <c r="AA187" s="352">
        <f t="shared" si="11"/>
        <v>0</v>
      </c>
      <c r="AB187" s="352">
        <f t="shared" si="12"/>
        <v>0</v>
      </c>
      <c r="AC187" s="352" t="str">
        <f t="shared" si="13"/>
        <v>0</v>
      </c>
      <c r="AD187" s="352">
        <f t="shared" si="14"/>
        <v>0</v>
      </c>
      <c r="AG187" s="273"/>
      <c r="AH187" s="273"/>
    </row>
    <row r="188" spans="2:34" ht="72" customHeight="1" x14ac:dyDescent="0.2">
      <c r="B188" s="682"/>
      <c r="C188" s="683"/>
      <c r="D188" s="683"/>
      <c r="E188" s="683"/>
      <c r="F188" s="683"/>
      <c r="G188" s="683"/>
      <c r="H188" s="683"/>
      <c r="I188" s="683"/>
      <c r="J188" s="683"/>
      <c r="K188" s="177" t="s">
        <v>385</v>
      </c>
      <c r="L188" s="178" t="s">
        <v>265</v>
      </c>
      <c r="M188" s="134">
        <v>43469</v>
      </c>
      <c r="N188" s="134">
        <v>43840</v>
      </c>
      <c r="O188" s="157" t="s">
        <v>381</v>
      </c>
      <c r="P188" s="157" t="s">
        <v>319</v>
      </c>
      <c r="Q188" s="125"/>
      <c r="R188" s="101">
        <v>74938000</v>
      </c>
      <c r="S188" s="182" t="s">
        <v>386</v>
      </c>
      <c r="T188" s="102"/>
      <c r="U188" s="257" t="s">
        <v>270</v>
      </c>
      <c r="V188" s="302">
        <v>2320</v>
      </c>
      <c r="W188" s="332">
        <v>43838</v>
      </c>
      <c r="X188" s="174">
        <v>74938000</v>
      </c>
      <c r="Y188" s="174">
        <v>74938000</v>
      </c>
      <c r="Z188" s="352">
        <v>74938000</v>
      </c>
      <c r="AA188" s="352">
        <f t="shared" si="11"/>
        <v>0</v>
      </c>
      <c r="AB188" s="352">
        <f t="shared" si="12"/>
        <v>74938000</v>
      </c>
      <c r="AC188" s="352">
        <f t="shared" si="13"/>
        <v>0</v>
      </c>
      <c r="AD188" s="352">
        <f t="shared" si="14"/>
        <v>74938000</v>
      </c>
      <c r="AG188" s="273"/>
      <c r="AH188" s="273"/>
    </row>
    <row r="189" spans="2:34" ht="30" customHeight="1" x14ac:dyDescent="0.2">
      <c r="B189" s="11" t="s">
        <v>7</v>
      </c>
      <c r="C189" s="4" t="s">
        <v>20</v>
      </c>
      <c r="D189" s="4" t="s">
        <v>20</v>
      </c>
      <c r="E189" s="4" t="s">
        <v>20</v>
      </c>
      <c r="F189" s="4" t="s">
        <v>16</v>
      </c>
      <c r="G189" s="4" t="s">
        <v>15</v>
      </c>
      <c r="H189" s="4" t="s">
        <v>8</v>
      </c>
      <c r="I189" s="4" t="s">
        <v>34</v>
      </c>
      <c r="J189" s="197"/>
      <c r="K189" s="11"/>
      <c r="L189" s="189" t="s">
        <v>108</v>
      </c>
      <c r="M189" s="189"/>
      <c r="N189" s="133"/>
      <c r="O189" s="156"/>
      <c r="P189" s="156"/>
      <c r="Q189" s="125">
        <v>60000000</v>
      </c>
      <c r="R189" s="5">
        <f>SUM(R190:R190)</f>
        <v>3200000</v>
      </c>
      <c r="S189" s="181"/>
      <c r="T189" s="9"/>
      <c r="U189" s="245"/>
      <c r="V189" s="301"/>
      <c r="W189" s="331"/>
      <c r="X189" s="5"/>
      <c r="Y189" s="5"/>
      <c r="Z189" s="355"/>
      <c r="AA189" s="355"/>
      <c r="AB189" s="355"/>
      <c r="AC189" s="355"/>
      <c r="AD189" s="355"/>
      <c r="AG189" s="273"/>
      <c r="AH189" s="273"/>
    </row>
    <row r="190" spans="2:34" ht="75" customHeight="1" x14ac:dyDescent="0.2">
      <c r="B190" s="682"/>
      <c r="C190" s="683"/>
      <c r="D190" s="683"/>
      <c r="E190" s="683"/>
      <c r="F190" s="683"/>
      <c r="G190" s="683"/>
      <c r="H190" s="683"/>
      <c r="I190" s="683"/>
      <c r="J190" s="683"/>
      <c r="K190" s="113"/>
      <c r="L190" s="114" t="s">
        <v>266</v>
      </c>
      <c r="M190" s="114"/>
      <c r="N190" s="137"/>
      <c r="O190" s="160"/>
      <c r="P190" s="160"/>
      <c r="Q190" s="125"/>
      <c r="R190" s="115">
        <v>3200000</v>
      </c>
      <c r="S190" s="187"/>
      <c r="T190" s="116"/>
      <c r="U190" s="256"/>
      <c r="V190" s="302" t="s">
        <v>436</v>
      </c>
      <c r="W190" s="332" t="s">
        <v>444</v>
      </c>
      <c r="X190" s="174">
        <f>800000+800000+522948+33132+105420</f>
        <v>2261500</v>
      </c>
      <c r="Y190" s="174">
        <f>800000+800000+522948+33132+105420</f>
        <v>2261500</v>
      </c>
      <c r="Z190" s="352"/>
      <c r="AA190" s="352">
        <f>+R190-Y190</f>
        <v>938500</v>
      </c>
      <c r="AB190" s="352">
        <f>+Z190-AA190</f>
        <v>-938500</v>
      </c>
      <c r="AC190" s="352" t="str">
        <f>IF(Z190=0,"0",IF(Z190&gt;0,Y190-Z190,))</f>
        <v>0</v>
      </c>
      <c r="AD190" s="352">
        <f>+R190+-Y190+AB190</f>
        <v>0</v>
      </c>
      <c r="AG190" s="273"/>
      <c r="AH190" s="273"/>
    </row>
    <row r="191" spans="2:34" ht="15" customHeight="1" x14ac:dyDescent="0.2">
      <c r="B191" s="13" t="s">
        <v>7</v>
      </c>
      <c r="C191" s="14" t="s">
        <v>20</v>
      </c>
      <c r="D191" s="14" t="s">
        <v>20</v>
      </c>
      <c r="E191" s="14" t="s">
        <v>20</v>
      </c>
      <c r="F191" s="14" t="s">
        <v>17</v>
      </c>
      <c r="G191" s="14"/>
      <c r="H191" s="14"/>
      <c r="I191" s="14"/>
      <c r="J191" s="195"/>
      <c r="K191" s="13"/>
      <c r="L191" s="15" t="s">
        <v>111</v>
      </c>
      <c r="M191" s="15"/>
      <c r="N191" s="131"/>
      <c r="O191" s="154"/>
      <c r="P191" s="154"/>
      <c r="Q191" s="125">
        <f>+Q192+Q206+Q200+Q203</f>
        <v>502000000</v>
      </c>
      <c r="R191" s="16">
        <f>+R192+R206+R200+R203</f>
        <v>386000000</v>
      </c>
      <c r="S191" s="14"/>
      <c r="T191" s="17"/>
      <c r="U191" s="252"/>
      <c r="V191" s="299"/>
      <c r="W191" s="329"/>
      <c r="X191" s="16"/>
      <c r="Y191" s="16"/>
      <c r="Z191" s="353"/>
      <c r="AA191" s="353"/>
      <c r="AB191" s="353"/>
      <c r="AC191" s="353"/>
      <c r="AD191" s="353"/>
      <c r="AG191" s="273"/>
      <c r="AH191" s="273"/>
    </row>
    <row r="192" spans="2:34" ht="15" customHeight="1" x14ac:dyDescent="0.2">
      <c r="B192" s="91" t="s">
        <v>7</v>
      </c>
      <c r="C192" s="92" t="s">
        <v>20</v>
      </c>
      <c r="D192" s="92" t="s">
        <v>20</v>
      </c>
      <c r="E192" s="92" t="s">
        <v>20</v>
      </c>
      <c r="F192" s="92" t="s">
        <v>17</v>
      </c>
      <c r="G192" s="92" t="s">
        <v>10</v>
      </c>
      <c r="H192" s="92"/>
      <c r="I192" s="92"/>
      <c r="J192" s="196"/>
      <c r="K192" s="91"/>
      <c r="L192" s="93" t="s">
        <v>112</v>
      </c>
      <c r="M192" s="93"/>
      <c r="N192" s="132"/>
      <c r="O192" s="155"/>
      <c r="P192" s="155"/>
      <c r="Q192" s="125">
        <f>+Q193</f>
        <v>148000000</v>
      </c>
      <c r="R192" s="94">
        <f>+R193</f>
        <v>127000000</v>
      </c>
      <c r="S192" s="92"/>
      <c r="T192" s="95"/>
      <c r="U192" s="244"/>
      <c r="V192" s="300"/>
      <c r="W192" s="330"/>
      <c r="X192" s="94"/>
      <c r="Y192" s="94"/>
      <c r="Z192" s="354"/>
      <c r="AA192" s="354"/>
      <c r="AB192" s="354"/>
      <c r="AC192" s="354"/>
      <c r="AD192" s="354"/>
      <c r="AG192" s="273"/>
      <c r="AH192" s="273"/>
    </row>
    <row r="193" spans="2:34" ht="15" customHeight="1" x14ac:dyDescent="0.2">
      <c r="B193" s="11" t="s">
        <v>7</v>
      </c>
      <c r="C193" s="4" t="s">
        <v>20</v>
      </c>
      <c r="D193" s="4" t="s">
        <v>20</v>
      </c>
      <c r="E193" s="4" t="s">
        <v>20</v>
      </c>
      <c r="F193" s="4" t="s">
        <v>17</v>
      </c>
      <c r="G193" s="4" t="s">
        <v>10</v>
      </c>
      <c r="H193" s="4" t="s">
        <v>31</v>
      </c>
      <c r="I193" s="4"/>
      <c r="J193" s="197"/>
      <c r="K193" s="11"/>
      <c r="L193" s="6" t="s">
        <v>113</v>
      </c>
      <c r="M193" s="6"/>
      <c r="N193" s="133"/>
      <c r="O193" s="156"/>
      <c r="P193" s="156"/>
      <c r="Q193" s="125">
        <v>148000000</v>
      </c>
      <c r="R193" s="5">
        <f>SUM(R194:R199)</f>
        <v>127000000</v>
      </c>
      <c r="S193" s="181"/>
      <c r="T193" s="9"/>
      <c r="U193" s="245"/>
      <c r="V193" s="301"/>
      <c r="W193" s="331"/>
      <c r="X193" s="5"/>
      <c r="Y193" s="5"/>
      <c r="Z193" s="355"/>
      <c r="AA193" s="355"/>
      <c r="AB193" s="355"/>
      <c r="AC193" s="355"/>
      <c r="AD193" s="355"/>
      <c r="AG193" s="273"/>
      <c r="AH193" s="273"/>
    </row>
    <row r="194" spans="2:34" ht="30" customHeight="1" x14ac:dyDescent="0.2">
      <c r="B194" s="677"/>
      <c r="C194" s="678"/>
      <c r="D194" s="678"/>
      <c r="E194" s="678"/>
      <c r="F194" s="678"/>
      <c r="G194" s="678"/>
      <c r="H194" s="678"/>
      <c r="I194" s="678"/>
      <c r="J194" s="678"/>
      <c r="K194" s="99"/>
      <c r="L194" s="378" t="s">
        <v>190</v>
      </c>
      <c r="M194" s="134">
        <v>43866</v>
      </c>
      <c r="N194" s="134">
        <v>43895</v>
      </c>
      <c r="O194" s="157" t="s">
        <v>326</v>
      </c>
      <c r="P194" s="157" t="s">
        <v>338</v>
      </c>
      <c r="Q194" s="125"/>
      <c r="R194" s="101">
        <f>100000000-6000000</f>
        <v>94000000</v>
      </c>
      <c r="S194" s="182" t="s">
        <v>386</v>
      </c>
      <c r="T194" s="102"/>
      <c r="U194" s="253" t="s">
        <v>194</v>
      </c>
      <c r="V194" s="302"/>
      <c r="W194" s="332"/>
      <c r="X194" s="174"/>
      <c r="Y194" s="174"/>
      <c r="Z194" s="352"/>
      <c r="AA194" s="352">
        <f t="shared" ref="AA194:AA199" si="15">+R194-Y194</f>
        <v>94000000</v>
      </c>
      <c r="AB194" s="352">
        <f t="shared" ref="AB194:AB199" si="16">+Z194-AA194</f>
        <v>-94000000</v>
      </c>
      <c r="AC194" s="352" t="str">
        <f t="shared" ref="AC194:AC199" si="17">IF(Z194=0,"0",IF(Z194&gt;0,Y194-Z194,))</f>
        <v>0</v>
      </c>
      <c r="AD194" s="352">
        <f t="shared" ref="AD194:AD199" si="18">+R194+-Y194+AB194</f>
        <v>0</v>
      </c>
      <c r="AG194" s="273"/>
      <c r="AH194" s="273"/>
    </row>
    <row r="195" spans="2:34" ht="15" customHeight="1" x14ac:dyDescent="0.2">
      <c r="B195" s="682"/>
      <c r="C195" s="683"/>
      <c r="D195" s="683"/>
      <c r="E195" s="683"/>
      <c r="F195" s="683"/>
      <c r="G195" s="683"/>
      <c r="H195" s="683"/>
      <c r="I195" s="683"/>
      <c r="J195" s="683"/>
      <c r="K195" s="99"/>
      <c r="L195" s="178" t="s">
        <v>191</v>
      </c>
      <c r="M195" s="178"/>
      <c r="N195" s="134">
        <v>43840</v>
      </c>
      <c r="O195" s="157" t="s">
        <v>375</v>
      </c>
      <c r="P195" s="157" t="s">
        <v>375</v>
      </c>
      <c r="Q195" s="125"/>
      <c r="R195" s="101">
        <v>15000000</v>
      </c>
      <c r="S195" s="182" t="s">
        <v>386</v>
      </c>
      <c r="T195" s="102"/>
      <c r="U195" s="253" t="s">
        <v>194</v>
      </c>
      <c r="V195" s="302"/>
      <c r="W195" s="332"/>
      <c r="X195" s="174"/>
      <c r="Y195" s="174"/>
      <c r="Z195" s="352"/>
      <c r="AA195" s="352">
        <f t="shared" si="15"/>
        <v>15000000</v>
      </c>
      <c r="AB195" s="352">
        <f t="shared" si="16"/>
        <v>-15000000</v>
      </c>
      <c r="AC195" s="352" t="str">
        <f t="shared" si="17"/>
        <v>0</v>
      </c>
      <c r="AD195" s="352">
        <f t="shared" si="18"/>
        <v>0</v>
      </c>
      <c r="AG195" s="273"/>
      <c r="AH195" s="273"/>
    </row>
    <row r="196" spans="2:34" ht="30" customHeight="1" x14ac:dyDescent="0.2">
      <c r="B196" s="682"/>
      <c r="C196" s="683"/>
      <c r="D196" s="683"/>
      <c r="E196" s="683"/>
      <c r="F196" s="683"/>
      <c r="G196" s="683"/>
      <c r="H196" s="683"/>
      <c r="I196" s="683"/>
      <c r="J196" s="683"/>
      <c r="K196" s="99"/>
      <c r="L196" s="178" t="s">
        <v>287</v>
      </c>
      <c r="M196" s="134">
        <v>43866</v>
      </c>
      <c r="N196" s="134">
        <v>43895</v>
      </c>
      <c r="O196" s="157" t="s">
        <v>294</v>
      </c>
      <c r="P196" s="157" t="s">
        <v>338</v>
      </c>
      <c r="Q196" s="125"/>
      <c r="R196" s="101">
        <v>3000000</v>
      </c>
      <c r="S196" s="182" t="s">
        <v>386</v>
      </c>
      <c r="T196" s="102"/>
      <c r="U196" s="253" t="s">
        <v>194</v>
      </c>
      <c r="V196" s="302"/>
      <c r="W196" s="332"/>
      <c r="X196" s="174"/>
      <c r="Y196" s="174"/>
      <c r="Z196" s="352"/>
      <c r="AA196" s="352">
        <f t="shared" si="15"/>
        <v>3000000</v>
      </c>
      <c r="AB196" s="352">
        <f t="shared" si="16"/>
        <v>-3000000</v>
      </c>
      <c r="AC196" s="352" t="str">
        <f t="shared" si="17"/>
        <v>0</v>
      </c>
      <c r="AD196" s="352">
        <f t="shared" si="18"/>
        <v>0</v>
      </c>
      <c r="AG196" s="273"/>
      <c r="AH196" s="273"/>
    </row>
    <row r="197" spans="2:34" ht="30" customHeight="1" x14ac:dyDescent="0.2">
      <c r="B197" s="682"/>
      <c r="C197" s="683"/>
      <c r="D197" s="683"/>
      <c r="E197" s="683"/>
      <c r="F197" s="683"/>
      <c r="G197" s="683"/>
      <c r="H197" s="683"/>
      <c r="I197" s="683"/>
      <c r="J197" s="683"/>
      <c r="K197" s="99"/>
      <c r="L197" s="178" t="s">
        <v>288</v>
      </c>
      <c r="M197" s="134">
        <v>43866</v>
      </c>
      <c r="N197" s="134">
        <v>43895</v>
      </c>
      <c r="O197" s="157" t="s">
        <v>294</v>
      </c>
      <c r="P197" s="157" t="s">
        <v>338</v>
      </c>
      <c r="Q197" s="125"/>
      <c r="R197" s="101">
        <v>4000000</v>
      </c>
      <c r="S197" s="182" t="s">
        <v>386</v>
      </c>
      <c r="T197" s="102"/>
      <c r="U197" s="253" t="s">
        <v>194</v>
      </c>
      <c r="V197" s="302"/>
      <c r="W197" s="332"/>
      <c r="X197" s="174"/>
      <c r="Y197" s="174"/>
      <c r="Z197" s="352"/>
      <c r="AA197" s="352">
        <f t="shared" si="15"/>
        <v>4000000</v>
      </c>
      <c r="AB197" s="352">
        <f t="shared" si="16"/>
        <v>-4000000</v>
      </c>
      <c r="AC197" s="352" t="str">
        <f t="shared" si="17"/>
        <v>0</v>
      </c>
      <c r="AD197" s="352">
        <f t="shared" si="18"/>
        <v>0</v>
      </c>
      <c r="AG197" s="273"/>
      <c r="AH197" s="273"/>
    </row>
    <row r="198" spans="2:34" ht="30" customHeight="1" x14ac:dyDescent="0.2">
      <c r="B198" s="682"/>
      <c r="C198" s="683"/>
      <c r="D198" s="683"/>
      <c r="E198" s="683"/>
      <c r="F198" s="683"/>
      <c r="G198" s="683"/>
      <c r="H198" s="683"/>
      <c r="I198" s="683"/>
      <c r="J198" s="683"/>
      <c r="K198" s="99"/>
      <c r="L198" s="178" t="s">
        <v>182</v>
      </c>
      <c r="M198" s="134">
        <v>43866</v>
      </c>
      <c r="N198" s="134">
        <v>43895</v>
      </c>
      <c r="O198" s="157" t="s">
        <v>294</v>
      </c>
      <c r="P198" s="157" t="s">
        <v>338</v>
      </c>
      <c r="Q198" s="125"/>
      <c r="R198" s="101">
        <v>3000000</v>
      </c>
      <c r="S198" s="182" t="s">
        <v>386</v>
      </c>
      <c r="T198" s="102"/>
      <c r="U198" s="253" t="s">
        <v>194</v>
      </c>
      <c r="V198" s="302"/>
      <c r="W198" s="332"/>
      <c r="X198" s="174"/>
      <c r="Y198" s="174"/>
      <c r="Z198" s="352"/>
      <c r="AA198" s="352">
        <f t="shared" si="15"/>
        <v>3000000</v>
      </c>
      <c r="AB198" s="352">
        <f t="shared" si="16"/>
        <v>-3000000</v>
      </c>
      <c r="AC198" s="352" t="str">
        <f t="shared" si="17"/>
        <v>0</v>
      </c>
      <c r="AD198" s="352">
        <f t="shared" si="18"/>
        <v>0</v>
      </c>
      <c r="AG198" s="273"/>
      <c r="AH198" s="273"/>
    </row>
    <row r="199" spans="2:34" ht="30" customHeight="1" x14ac:dyDescent="0.2">
      <c r="B199" s="682"/>
      <c r="C199" s="683"/>
      <c r="D199" s="683"/>
      <c r="E199" s="683"/>
      <c r="F199" s="683"/>
      <c r="G199" s="683"/>
      <c r="H199" s="683"/>
      <c r="I199" s="683"/>
      <c r="J199" s="683"/>
      <c r="K199" s="99"/>
      <c r="L199" s="178" t="s">
        <v>289</v>
      </c>
      <c r="M199" s="134">
        <v>43866</v>
      </c>
      <c r="N199" s="134">
        <v>43895</v>
      </c>
      <c r="O199" s="157" t="s">
        <v>294</v>
      </c>
      <c r="P199" s="157" t="s">
        <v>374</v>
      </c>
      <c r="Q199" s="125"/>
      <c r="R199" s="101">
        <v>8000000</v>
      </c>
      <c r="S199" s="182" t="s">
        <v>386</v>
      </c>
      <c r="T199" s="102"/>
      <c r="U199" s="253" t="s">
        <v>269</v>
      </c>
      <c r="V199" s="302"/>
      <c r="W199" s="332"/>
      <c r="X199" s="174"/>
      <c r="Y199" s="174"/>
      <c r="Z199" s="352"/>
      <c r="AA199" s="352">
        <f t="shared" si="15"/>
        <v>8000000</v>
      </c>
      <c r="AB199" s="352">
        <f t="shared" si="16"/>
        <v>-8000000</v>
      </c>
      <c r="AC199" s="352" t="str">
        <f t="shared" si="17"/>
        <v>0</v>
      </c>
      <c r="AD199" s="352">
        <f t="shared" si="18"/>
        <v>0</v>
      </c>
      <c r="AG199" s="273"/>
      <c r="AH199" s="273"/>
    </row>
    <row r="200" spans="2:34" ht="19.5" customHeight="1" x14ac:dyDescent="0.2">
      <c r="B200" s="91" t="s">
        <v>7</v>
      </c>
      <c r="C200" s="92" t="s">
        <v>20</v>
      </c>
      <c r="D200" s="92" t="s">
        <v>20</v>
      </c>
      <c r="E200" s="92" t="s">
        <v>20</v>
      </c>
      <c r="F200" s="92" t="s">
        <v>17</v>
      </c>
      <c r="G200" s="92" t="s">
        <v>11</v>
      </c>
      <c r="H200" s="92"/>
      <c r="I200" s="92"/>
      <c r="J200" s="196"/>
      <c r="K200" s="91"/>
      <c r="L200" s="93" t="s">
        <v>144</v>
      </c>
      <c r="M200" s="93"/>
      <c r="N200" s="132"/>
      <c r="O200" s="155"/>
      <c r="P200" s="155"/>
      <c r="Q200" s="125">
        <f>+Q201</f>
        <v>30000000</v>
      </c>
      <c r="R200" s="94">
        <f>+R201</f>
        <v>27000000</v>
      </c>
      <c r="S200" s="92"/>
      <c r="T200" s="95"/>
      <c r="U200" s="244"/>
      <c r="V200" s="300"/>
      <c r="W200" s="330"/>
      <c r="X200" s="94"/>
      <c r="Y200" s="94"/>
      <c r="Z200" s="354"/>
      <c r="AA200" s="354"/>
      <c r="AB200" s="354"/>
      <c r="AC200" s="354"/>
      <c r="AD200" s="354"/>
      <c r="AG200" s="273"/>
      <c r="AH200" s="273"/>
    </row>
    <row r="201" spans="2:34" ht="15" customHeight="1" x14ac:dyDescent="0.2">
      <c r="B201" s="11" t="s">
        <v>7</v>
      </c>
      <c r="C201" s="4" t="s">
        <v>20</v>
      </c>
      <c r="D201" s="4" t="s">
        <v>20</v>
      </c>
      <c r="E201" s="4" t="s">
        <v>20</v>
      </c>
      <c r="F201" s="4" t="s">
        <v>17</v>
      </c>
      <c r="G201" s="4" t="s">
        <v>11</v>
      </c>
      <c r="H201" s="4" t="s">
        <v>8</v>
      </c>
      <c r="I201" s="4"/>
      <c r="J201" s="197"/>
      <c r="K201" s="11"/>
      <c r="L201" s="6" t="s">
        <v>145</v>
      </c>
      <c r="M201" s="6"/>
      <c r="N201" s="133"/>
      <c r="O201" s="156"/>
      <c r="P201" s="156"/>
      <c r="Q201" s="125">
        <v>30000000</v>
      </c>
      <c r="R201" s="5">
        <f>SUM(R202:R202)</f>
        <v>27000000</v>
      </c>
      <c r="S201" s="181"/>
      <c r="T201" s="9"/>
      <c r="U201" s="245"/>
      <c r="V201" s="301"/>
      <c r="W201" s="331"/>
      <c r="X201" s="5"/>
      <c r="Y201" s="5"/>
      <c r="Z201" s="355"/>
      <c r="AA201" s="355"/>
      <c r="AB201" s="355"/>
      <c r="AC201" s="355"/>
      <c r="AD201" s="355"/>
      <c r="AG201" s="273"/>
      <c r="AH201" s="273"/>
    </row>
    <row r="202" spans="2:34" ht="15" customHeight="1" x14ac:dyDescent="0.2">
      <c r="B202" s="677"/>
      <c r="C202" s="678"/>
      <c r="D202" s="678"/>
      <c r="E202" s="678"/>
      <c r="F202" s="678"/>
      <c r="G202" s="678"/>
      <c r="H202" s="678"/>
      <c r="I202" s="678"/>
      <c r="J202" s="678"/>
      <c r="K202" s="99"/>
      <c r="L202" s="100" t="s">
        <v>196</v>
      </c>
      <c r="M202" s="134">
        <v>43895</v>
      </c>
      <c r="N202" s="134">
        <v>43955</v>
      </c>
      <c r="O202" s="157" t="s">
        <v>326</v>
      </c>
      <c r="P202" s="157" t="s">
        <v>318</v>
      </c>
      <c r="Q202" s="125"/>
      <c r="R202" s="101">
        <v>27000000</v>
      </c>
      <c r="S202" s="182" t="s">
        <v>386</v>
      </c>
      <c r="T202" s="102"/>
      <c r="U202" s="253" t="s">
        <v>194</v>
      </c>
      <c r="V202" s="302">
        <v>14920</v>
      </c>
      <c r="W202" s="332">
        <v>43886</v>
      </c>
      <c r="X202" s="174">
        <v>27000000</v>
      </c>
      <c r="Y202" s="174">
        <v>27000000</v>
      </c>
      <c r="Z202" s="352">
        <v>0</v>
      </c>
      <c r="AA202" s="352">
        <f>+R202-Y202</f>
        <v>0</v>
      </c>
      <c r="AB202" s="352">
        <f>+Z202-AA202</f>
        <v>0</v>
      </c>
      <c r="AC202" s="352" t="str">
        <f>IF(Z202=0,"0",IF(Z202&gt;0,Y202-Z202,))</f>
        <v>0</v>
      </c>
      <c r="AD202" s="352">
        <f>+R202+-Y202+AB202</f>
        <v>0</v>
      </c>
      <c r="AG202" s="273"/>
      <c r="AH202" s="273"/>
    </row>
    <row r="203" spans="2:34" ht="45" customHeight="1" x14ac:dyDescent="0.2">
      <c r="B203" s="91" t="s">
        <v>7</v>
      </c>
      <c r="C203" s="92" t="s">
        <v>20</v>
      </c>
      <c r="D203" s="92" t="s">
        <v>20</v>
      </c>
      <c r="E203" s="92" t="s">
        <v>20</v>
      </c>
      <c r="F203" s="92" t="s">
        <v>17</v>
      </c>
      <c r="G203" s="92" t="s">
        <v>12</v>
      </c>
      <c r="H203" s="92"/>
      <c r="I203" s="92"/>
      <c r="J203" s="196"/>
      <c r="K203" s="91"/>
      <c r="L203" s="93" t="s">
        <v>147</v>
      </c>
      <c r="M203" s="93"/>
      <c r="N203" s="132"/>
      <c r="O203" s="155"/>
      <c r="P203" s="155"/>
      <c r="Q203" s="125">
        <f>+Q204</f>
        <v>294000000</v>
      </c>
      <c r="R203" s="94">
        <f>+R204</f>
        <v>202000000</v>
      </c>
      <c r="S203" s="92"/>
      <c r="T203" s="95"/>
      <c r="U203" s="244"/>
      <c r="V203" s="300"/>
      <c r="W203" s="330"/>
      <c r="X203" s="94"/>
      <c r="Y203" s="94"/>
      <c r="Z203" s="354"/>
      <c r="AA203" s="354"/>
      <c r="AB203" s="354"/>
      <c r="AC203" s="354"/>
      <c r="AD203" s="354"/>
      <c r="AG203" s="273"/>
      <c r="AH203" s="273"/>
    </row>
    <row r="204" spans="2:34" ht="30" customHeight="1" x14ac:dyDescent="0.2">
      <c r="B204" s="11" t="s">
        <v>7</v>
      </c>
      <c r="C204" s="4" t="s">
        <v>20</v>
      </c>
      <c r="D204" s="4" t="s">
        <v>20</v>
      </c>
      <c r="E204" s="4" t="s">
        <v>20</v>
      </c>
      <c r="F204" s="4" t="s">
        <v>17</v>
      </c>
      <c r="G204" s="4" t="s">
        <v>12</v>
      </c>
      <c r="H204" s="4" t="s">
        <v>8</v>
      </c>
      <c r="I204" s="4"/>
      <c r="J204" s="197"/>
      <c r="K204" s="11"/>
      <c r="L204" s="6" t="s">
        <v>148</v>
      </c>
      <c r="M204" s="6"/>
      <c r="N204" s="136"/>
      <c r="O204" s="156"/>
      <c r="P204" s="156"/>
      <c r="Q204" s="125">
        <v>294000000</v>
      </c>
      <c r="R204" s="8">
        <f>SUM(R205:R205)</f>
        <v>202000000</v>
      </c>
      <c r="S204" s="181"/>
      <c r="T204" s="9"/>
      <c r="U204" s="245"/>
      <c r="V204" s="303"/>
      <c r="W204" s="333"/>
      <c r="X204" s="8"/>
      <c r="Y204" s="8"/>
      <c r="Z204" s="358"/>
      <c r="AA204" s="358"/>
      <c r="AB204" s="358"/>
      <c r="AC204" s="358"/>
      <c r="AD204" s="358"/>
      <c r="AG204" s="273"/>
      <c r="AH204" s="273"/>
    </row>
    <row r="205" spans="2:34" ht="34.5" customHeight="1" x14ac:dyDescent="0.2">
      <c r="B205" s="677"/>
      <c r="C205" s="678"/>
      <c r="D205" s="678"/>
      <c r="E205" s="678"/>
      <c r="F205" s="678"/>
      <c r="G205" s="678"/>
      <c r="H205" s="678"/>
      <c r="I205" s="678"/>
      <c r="J205" s="678"/>
      <c r="K205" s="99"/>
      <c r="L205" s="100" t="s">
        <v>273</v>
      </c>
      <c r="M205" s="157" t="s">
        <v>375</v>
      </c>
      <c r="N205" s="134">
        <v>43832</v>
      </c>
      <c r="O205" s="157" t="s">
        <v>301</v>
      </c>
      <c r="P205" s="157" t="s">
        <v>375</v>
      </c>
      <c r="Q205" s="125"/>
      <c r="R205" s="101">
        <f>294000000-92000000</f>
        <v>202000000</v>
      </c>
      <c r="S205" s="182" t="s">
        <v>386</v>
      </c>
      <c r="T205" s="102"/>
      <c r="U205" s="253" t="s">
        <v>271</v>
      </c>
      <c r="V205" s="302" t="s">
        <v>445</v>
      </c>
      <c r="W205" s="332" t="s">
        <v>427</v>
      </c>
      <c r="X205" s="174">
        <v>34873725</v>
      </c>
      <c r="Y205" s="174">
        <v>34873725</v>
      </c>
      <c r="Z205" s="352">
        <v>34873725</v>
      </c>
      <c r="AA205" s="352">
        <f>+R205-Y205</f>
        <v>167126275</v>
      </c>
      <c r="AB205" s="352">
        <f>+Z205-AA205</f>
        <v>-132252550</v>
      </c>
      <c r="AC205" s="352">
        <f>IF(Z205=0,"0",IF(Z205&gt;0,Y205-Z205,))</f>
        <v>0</v>
      </c>
      <c r="AD205" s="352">
        <f>+R205+-Y205+AB205</f>
        <v>34873725</v>
      </c>
      <c r="AG205" s="273"/>
      <c r="AH205" s="273"/>
    </row>
    <row r="206" spans="2:34" ht="15" customHeight="1" x14ac:dyDescent="0.2">
      <c r="B206" s="91" t="s">
        <v>7</v>
      </c>
      <c r="C206" s="92" t="s">
        <v>20</v>
      </c>
      <c r="D206" s="92" t="s">
        <v>20</v>
      </c>
      <c r="E206" s="92" t="s">
        <v>20</v>
      </c>
      <c r="F206" s="92" t="s">
        <v>17</v>
      </c>
      <c r="G206" s="92" t="s">
        <v>14</v>
      </c>
      <c r="H206" s="92"/>
      <c r="I206" s="92"/>
      <c r="J206" s="196"/>
      <c r="K206" s="91"/>
      <c r="L206" s="93" t="s">
        <v>114</v>
      </c>
      <c r="M206" s="93"/>
      <c r="N206" s="132"/>
      <c r="O206" s="155"/>
      <c r="P206" s="155"/>
      <c r="Q206" s="125">
        <f>SUM(Q207:Q208)</f>
        <v>30000000</v>
      </c>
      <c r="R206" s="94">
        <f>SUM(R207:R208)</f>
        <v>30000000</v>
      </c>
      <c r="S206" s="92"/>
      <c r="T206" s="95"/>
      <c r="U206" s="244"/>
      <c r="V206" s="300"/>
      <c r="W206" s="330"/>
      <c r="X206" s="94"/>
      <c r="Y206" s="94"/>
      <c r="Z206" s="354"/>
      <c r="AA206" s="354"/>
      <c r="AB206" s="354"/>
      <c r="AC206" s="354"/>
      <c r="AD206" s="354"/>
      <c r="AG206" s="273"/>
      <c r="AH206" s="273"/>
    </row>
    <row r="207" spans="2:34" ht="15" customHeight="1" x14ac:dyDescent="0.2">
      <c r="B207" s="11" t="s">
        <v>7</v>
      </c>
      <c r="C207" s="4" t="s">
        <v>20</v>
      </c>
      <c r="D207" s="4" t="s">
        <v>20</v>
      </c>
      <c r="E207" s="4" t="s">
        <v>20</v>
      </c>
      <c r="F207" s="4" t="s">
        <v>17</v>
      </c>
      <c r="G207" s="4" t="s">
        <v>14</v>
      </c>
      <c r="H207" s="4" t="s">
        <v>27</v>
      </c>
      <c r="I207" s="4"/>
      <c r="J207" s="197"/>
      <c r="K207" s="11"/>
      <c r="L207" s="6" t="s">
        <v>115</v>
      </c>
      <c r="M207" s="6"/>
      <c r="N207" s="133"/>
      <c r="O207" s="156"/>
      <c r="P207" s="156"/>
      <c r="Q207" s="125"/>
      <c r="R207" s="5"/>
      <c r="S207" s="181"/>
      <c r="T207" s="9"/>
      <c r="U207" s="245"/>
      <c r="V207" s="301"/>
      <c r="W207" s="331"/>
      <c r="X207" s="5"/>
      <c r="Y207" s="5"/>
      <c r="Z207" s="355"/>
      <c r="AA207" s="355"/>
      <c r="AB207" s="355"/>
      <c r="AC207" s="355"/>
      <c r="AD207" s="355"/>
      <c r="AG207" s="273"/>
      <c r="AH207" s="273"/>
    </row>
    <row r="208" spans="2:34" ht="15" customHeight="1" x14ac:dyDescent="0.2">
      <c r="B208" s="11" t="s">
        <v>7</v>
      </c>
      <c r="C208" s="4" t="s">
        <v>20</v>
      </c>
      <c r="D208" s="4" t="s">
        <v>20</v>
      </c>
      <c r="E208" s="4" t="s">
        <v>20</v>
      </c>
      <c r="F208" s="4" t="s">
        <v>17</v>
      </c>
      <c r="G208" s="4" t="s">
        <v>14</v>
      </c>
      <c r="H208" s="4" t="s">
        <v>31</v>
      </c>
      <c r="I208" s="4"/>
      <c r="J208" s="197"/>
      <c r="K208" s="11"/>
      <c r="L208" s="6" t="s">
        <v>116</v>
      </c>
      <c r="M208" s="6"/>
      <c r="N208" s="133"/>
      <c r="O208" s="156"/>
      <c r="P208" s="156"/>
      <c r="Q208" s="125">
        <v>30000000</v>
      </c>
      <c r="R208" s="5">
        <f>SUM(R209:R209)</f>
        <v>30000000</v>
      </c>
      <c r="S208" s="181"/>
      <c r="T208" s="9"/>
      <c r="U208" s="245"/>
      <c r="V208" s="301"/>
      <c r="W208" s="331"/>
      <c r="X208" s="5"/>
      <c r="Y208" s="5"/>
      <c r="Z208" s="355"/>
      <c r="AA208" s="355"/>
      <c r="AB208" s="355"/>
      <c r="AC208" s="355"/>
      <c r="AD208" s="355"/>
      <c r="AG208" s="273"/>
      <c r="AH208" s="273"/>
    </row>
    <row r="209" spans="2:34" ht="30" customHeight="1" x14ac:dyDescent="0.2">
      <c r="B209" s="677"/>
      <c r="C209" s="678"/>
      <c r="D209" s="678"/>
      <c r="E209" s="678"/>
      <c r="F209" s="678"/>
      <c r="G209" s="678"/>
      <c r="H209" s="678"/>
      <c r="I209" s="678"/>
      <c r="J209" s="678"/>
      <c r="K209" s="99">
        <v>93141500</v>
      </c>
      <c r="L209" s="100" t="s">
        <v>192</v>
      </c>
      <c r="M209" s="134">
        <v>44105</v>
      </c>
      <c r="N209" s="134">
        <v>44136</v>
      </c>
      <c r="O209" s="157" t="s">
        <v>294</v>
      </c>
      <c r="P209" s="157" t="s">
        <v>374</v>
      </c>
      <c r="Q209" s="125"/>
      <c r="R209" s="101">
        <v>30000000</v>
      </c>
      <c r="S209" s="182" t="s">
        <v>386</v>
      </c>
      <c r="T209" s="102"/>
      <c r="U209" s="253" t="s">
        <v>194</v>
      </c>
      <c r="V209" s="302">
        <v>5820</v>
      </c>
      <c r="W209" s="332">
        <v>43850</v>
      </c>
      <c r="X209" s="174">
        <v>30000000</v>
      </c>
      <c r="Y209" s="174">
        <v>30000000</v>
      </c>
      <c r="Z209" s="352">
        <v>10866326</v>
      </c>
      <c r="AA209" s="352">
        <f>+R209-Y209</f>
        <v>0</v>
      </c>
      <c r="AB209" s="352">
        <f>+Z209-AA209</f>
        <v>10866326</v>
      </c>
      <c r="AC209" s="352">
        <f>IF(Z209=0,"0",IF(Z209&gt;0,Y209-Z209,))</f>
        <v>19133674</v>
      </c>
      <c r="AD209" s="352">
        <f>+R209+-Y209+AB209</f>
        <v>10866326</v>
      </c>
      <c r="AG209" s="273"/>
      <c r="AH209" s="273"/>
    </row>
    <row r="210" spans="2:34" ht="15" customHeight="1" x14ac:dyDescent="0.2">
      <c r="B210" s="13" t="s">
        <v>7</v>
      </c>
      <c r="C210" s="14" t="s">
        <v>20</v>
      </c>
      <c r="D210" s="14" t="s">
        <v>20</v>
      </c>
      <c r="E210" s="14" t="s">
        <v>20</v>
      </c>
      <c r="F210" s="14" t="s">
        <v>18</v>
      </c>
      <c r="G210" s="14"/>
      <c r="H210" s="14"/>
      <c r="I210" s="14"/>
      <c r="J210" s="195"/>
      <c r="K210" s="13"/>
      <c r="L210" s="15" t="s">
        <v>19</v>
      </c>
      <c r="M210" s="15"/>
      <c r="N210" s="131"/>
      <c r="O210" s="154"/>
      <c r="P210" s="154"/>
      <c r="Q210" s="125">
        <v>28000000</v>
      </c>
      <c r="R210" s="16">
        <f>SUM(R211)</f>
        <v>28000000</v>
      </c>
      <c r="S210" s="14"/>
      <c r="T210" s="17"/>
      <c r="U210" s="252"/>
      <c r="V210" s="299"/>
      <c r="W210" s="329"/>
      <c r="X210" s="16"/>
      <c r="Y210" s="16"/>
      <c r="Z210" s="353"/>
      <c r="AA210" s="353"/>
      <c r="AB210" s="353"/>
      <c r="AC210" s="353"/>
      <c r="AD210" s="353"/>
      <c r="AG210" s="273"/>
      <c r="AH210" s="273"/>
    </row>
    <row r="211" spans="2:34" ht="45" customHeight="1" x14ac:dyDescent="0.2">
      <c r="B211" s="679"/>
      <c r="C211" s="680"/>
      <c r="D211" s="680"/>
      <c r="E211" s="680"/>
      <c r="F211" s="680"/>
      <c r="G211" s="680"/>
      <c r="H211" s="680"/>
      <c r="I211" s="680"/>
      <c r="J211" s="680"/>
      <c r="K211" s="99"/>
      <c r="L211" s="100" t="s">
        <v>19</v>
      </c>
      <c r="M211" s="157" t="s">
        <v>375</v>
      </c>
      <c r="N211" s="134">
        <v>43845</v>
      </c>
      <c r="O211" s="157" t="s">
        <v>324</v>
      </c>
      <c r="P211" s="157" t="s">
        <v>375</v>
      </c>
      <c r="Q211" s="125"/>
      <c r="R211" s="101">
        <v>28000000</v>
      </c>
      <c r="S211" s="182" t="s">
        <v>386</v>
      </c>
      <c r="T211" s="102"/>
      <c r="U211" s="253" t="s">
        <v>194</v>
      </c>
      <c r="V211" s="302">
        <v>13320</v>
      </c>
      <c r="W211" s="332">
        <v>43873</v>
      </c>
      <c r="X211" s="174">
        <v>28000000</v>
      </c>
      <c r="Y211" s="174">
        <v>28000000</v>
      </c>
      <c r="Z211" s="352">
        <v>5372940</v>
      </c>
      <c r="AA211" s="352">
        <f>+R211-Y211</f>
        <v>0</v>
      </c>
      <c r="AB211" s="352">
        <f>+Z211-AA211</f>
        <v>5372940</v>
      </c>
      <c r="AC211" s="352">
        <f>IF(Z211=0,"0",IF(Z211&gt;0,Y211-Z211,))</f>
        <v>22627060</v>
      </c>
      <c r="AD211" s="352">
        <f>+R211+-Y211+AB211</f>
        <v>5372940</v>
      </c>
      <c r="AG211" s="273"/>
      <c r="AH211" s="273"/>
    </row>
    <row r="212" spans="2:34" ht="15.75" customHeight="1" x14ac:dyDescent="0.25">
      <c r="B212" s="46" t="s">
        <v>7</v>
      </c>
      <c r="C212" s="47" t="s">
        <v>27</v>
      </c>
      <c r="D212" s="47"/>
      <c r="E212" s="47"/>
      <c r="F212" s="47"/>
      <c r="G212" s="47"/>
      <c r="H212" s="47"/>
      <c r="I212" s="47"/>
      <c r="J212" s="199"/>
      <c r="K212" s="46"/>
      <c r="L212" s="48" t="s">
        <v>120</v>
      </c>
      <c r="M212" s="48"/>
      <c r="N212" s="138"/>
      <c r="O212" s="161"/>
      <c r="P212" s="161"/>
      <c r="Q212" s="127">
        <f>+Q213</f>
        <v>8530000000</v>
      </c>
      <c r="R212" s="49">
        <f>+R213</f>
        <v>8530000000</v>
      </c>
      <c r="S212" s="228"/>
      <c r="T212" s="50"/>
      <c r="U212" s="258"/>
      <c r="V212" s="304"/>
      <c r="W212" s="334"/>
      <c r="X212" s="49"/>
      <c r="Y212" s="49"/>
      <c r="Z212" s="362"/>
      <c r="AA212" s="362"/>
      <c r="AB212" s="362"/>
      <c r="AC212" s="362"/>
      <c r="AD212" s="362"/>
      <c r="AG212" s="273"/>
      <c r="AH212" s="273"/>
    </row>
    <row r="213" spans="2:34" ht="15.75" customHeight="1" x14ac:dyDescent="0.25">
      <c r="B213" s="51" t="s">
        <v>7</v>
      </c>
      <c r="C213" s="52" t="s">
        <v>27</v>
      </c>
      <c r="D213" s="52" t="s">
        <v>8</v>
      </c>
      <c r="E213" s="52"/>
      <c r="F213" s="52"/>
      <c r="G213" s="52"/>
      <c r="H213" s="52"/>
      <c r="I213" s="52"/>
      <c r="J213" s="200"/>
      <c r="K213" s="51"/>
      <c r="L213" s="53" t="s">
        <v>120</v>
      </c>
      <c r="M213" s="53"/>
      <c r="N213" s="139"/>
      <c r="O213" s="162"/>
      <c r="P213" s="162"/>
      <c r="Q213" s="127">
        <f>+Q239+Q214</f>
        <v>8530000000</v>
      </c>
      <c r="R213" s="54">
        <f>+R239+R214</f>
        <v>8530000000</v>
      </c>
      <c r="S213" s="190"/>
      <c r="T213" s="55"/>
      <c r="U213" s="259"/>
      <c r="V213" s="305"/>
      <c r="W213" s="335"/>
      <c r="X213" s="54"/>
      <c r="Y213" s="54"/>
      <c r="Z213" s="363"/>
      <c r="AA213" s="363"/>
      <c r="AB213" s="363"/>
      <c r="AC213" s="363"/>
      <c r="AD213" s="363"/>
      <c r="AG213" s="273"/>
      <c r="AH213" s="273"/>
    </row>
    <row r="214" spans="2:34" ht="15" customHeight="1" x14ac:dyDescent="0.2">
      <c r="B214" s="21" t="s">
        <v>7</v>
      </c>
      <c r="C214" s="22" t="s">
        <v>27</v>
      </c>
      <c r="D214" s="22" t="s">
        <v>8</v>
      </c>
      <c r="E214" s="22" t="s">
        <v>8</v>
      </c>
      <c r="F214" s="22"/>
      <c r="G214" s="22"/>
      <c r="H214" s="22"/>
      <c r="I214" s="22"/>
      <c r="J214" s="201"/>
      <c r="K214" s="21"/>
      <c r="L214" s="23" t="s">
        <v>50</v>
      </c>
      <c r="M214" s="23"/>
      <c r="N214" s="140"/>
      <c r="O214" s="163"/>
      <c r="P214" s="163"/>
      <c r="Q214" s="125">
        <f>+Q215+Q219+Q229</f>
        <v>588000000</v>
      </c>
      <c r="R214" s="24">
        <f>+R215+R219+R229</f>
        <v>588000000</v>
      </c>
      <c r="S214" s="22"/>
      <c r="T214" s="25"/>
      <c r="U214" s="260"/>
      <c r="V214" s="306"/>
      <c r="W214" s="336"/>
      <c r="X214" s="24"/>
      <c r="Y214" s="24"/>
      <c r="Z214" s="364"/>
      <c r="AA214" s="364"/>
      <c r="AB214" s="364"/>
      <c r="AC214" s="364"/>
      <c r="AD214" s="364"/>
      <c r="AG214" s="273"/>
      <c r="AH214" s="273"/>
    </row>
    <row r="215" spans="2:34" ht="15" customHeight="1" x14ac:dyDescent="0.2">
      <c r="B215" s="13" t="s">
        <v>7</v>
      </c>
      <c r="C215" s="14" t="s">
        <v>27</v>
      </c>
      <c r="D215" s="14" t="s">
        <v>8</v>
      </c>
      <c r="E215" s="14" t="s">
        <v>8</v>
      </c>
      <c r="F215" s="14" t="s">
        <v>155</v>
      </c>
      <c r="G215" s="14"/>
      <c r="H215" s="14"/>
      <c r="I215" s="14"/>
      <c r="J215" s="195"/>
      <c r="K215" s="13"/>
      <c r="L215" s="15" t="s">
        <v>156</v>
      </c>
      <c r="M215" s="15"/>
      <c r="N215" s="131"/>
      <c r="O215" s="154"/>
      <c r="P215" s="154"/>
      <c r="Q215" s="125">
        <f>+Q216</f>
        <v>16000000</v>
      </c>
      <c r="R215" s="16">
        <f>+R216</f>
        <v>16000000</v>
      </c>
      <c r="S215" s="14"/>
      <c r="T215" s="17"/>
      <c r="U215" s="252"/>
      <c r="V215" s="299"/>
      <c r="W215" s="329"/>
      <c r="X215" s="16"/>
      <c r="Y215" s="16"/>
      <c r="Z215" s="353"/>
      <c r="AA215" s="353"/>
      <c r="AB215" s="353"/>
      <c r="AC215" s="353"/>
      <c r="AD215" s="353"/>
      <c r="AG215" s="273"/>
      <c r="AH215" s="273"/>
    </row>
    <row r="216" spans="2:34" ht="15" customHeight="1" x14ac:dyDescent="0.2">
      <c r="B216" s="31" t="s">
        <v>7</v>
      </c>
      <c r="C216" s="32" t="s">
        <v>27</v>
      </c>
      <c r="D216" s="32" t="s">
        <v>8</v>
      </c>
      <c r="E216" s="32" t="s">
        <v>8</v>
      </c>
      <c r="F216" s="32" t="s">
        <v>155</v>
      </c>
      <c r="G216" s="32" t="s">
        <v>9</v>
      </c>
      <c r="H216" s="32"/>
      <c r="I216" s="32"/>
      <c r="J216" s="202"/>
      <c r="K216" s="31"/>
      <c r="L216" s="33" t="s">
        <v>157</v>
      </c>
      <c r="M216" s="33"/>
      <c r="N216" s="141"/>
      <c r="O216" s="164"/>
      <c r="P216" s="164"/>
      <c r="Q216" s="125">
        <f>+Q217</f>
        <v>16000000</v>
      </c>
      <c r="R216" s="34">
        <f>+R217</f>
        <v>16000000</v>
      </c>
      <c r="S216" s="32"/>
      <c r="T216" s="35"/>
      <c r="U216" s="261"/>
      <c r="V216" s="307"/>
      <c r="W216" s="337"/>
      <c r="X216" s="34"/>
      <c r="Y216" s="34"/>
      <c r="Z216" s="365"/>
      <c r="AA216" s="365"/>
      <c r="AB216" s="365"/>
      <c r="AC216" s="365"/>
      <c r="AD216" s="365"/>
      <c r="AG216" s="273"/>
      <c r="AH216" s="273"/>
    </row>
    <row r="217" spans="2:34" ht="30" customHeight="1" x14ac:dyDescent="0.2">
      <c r="B217" s="11" t="s">
        <v>7</v>
      </c>
      <c r="C217" s="4" t="s">
        <v>27</v>
      </c>
      <c r="D217" s="4" t="s">
        <v>8</v>
      </c>
      <c r="E217" s="4" t="s">
        <v>8</v>
      </c>
      <c r="F217" s="4" t="s">
        <v>155</v>
      </c>
      <c r="G217" s="4" t="s">
        <v>9</v>
      </c>
      <c r="H217" s="4" t="s">
        <v>31</v>
      </c>
      <c r="I217" s="4"/>
      <c r="J217" s="197"/>
      <c r="K217" s="11"/>
      <c r="L217" s="6" t="s">
        <v>158</v>
      </c>
      <c r="M217" s="6"/>
      <c r="N217" s="133"/>
      <c r="O217" s="156"/>
      <c r="P217" s="156"/>
      <c r="Q217" s="125">
        <v>16000000</v>
      </c>
      <c r="R217" s="5">
        <f>SUM(R218:R218)</f>
        <v>16000000</v>
      </c>
      <c r="S217" s="181"/>
      <c r="T217" s="9"/>
      <c r="U217" s="245"/>
      <c r="V217" s="301"/>
      <c r="W217" s="331"/>
      <c r="X217" s="5"/>
      <c r="Y217" s="5"/>
      <c r="Z217" s="355"/>
      <c r="AA217" s="355"/>
      <c r="AB217" s="355"/>
      <c r="AC217" s="355"/>
      <c r="AD217" s="355"/>
      <c r="AG217" s="273"/>
      <c r="AH217" s="273"/>
    </row>
    <row r="218" spans="2:34" ht="60" customHeight="1" x14ac:dyDescent="0.2">
      <c r="B218" s="677"/>
      <c r="C218" s="678"/>
      <c r="D218" s="678"/>
      <c r="E218" s="678"/>
      <c r="F218" s="678"/>
      <c r="G218" s="678"/>
      <c r="H218" s="678"/>
      <c r="I218" s="678"/>
      <c r="J218" s="678"/>
      <c r="K218" s="177" t="s">
        <v>323</v>
      </c>
      <c r="L218" s="178" t="s">
        <v>210</v>
      </c>
      <c r="M218" s="134">
        <v>43891</v>
      </c>
      <c r="N218" s="134">
        <v>43922</v>
      </c>
      <c r="O218" s="157" t="s">
        <v>311</v>
      </c>
      <c r="P218" s="157" t="s">
        <v>318</v>
      </c>
      <c r="Q218" s="125"/>
      <c r="R218" s="101">
        <v>16000000</v>
      </c>
      <c r="S218" s="182" t="s">
        <v>386</v>
      </c>
      <c r="T218" s="102"/>
      <c r="U218" s="253" t="s">
        <v>221</v>
      </c>
      <c r="V218" s="302"/>
      <c r="W218" s="332"/>
      <c r="X218" s="174"/>
      <c r="Y218" s="174"/>
      <c r="Z218" s="352"/>
      <c r="AA218" s="352">
        <f>+R218-Y218</f>
        <v>16000000</v>
      </c>
      <c r="AB218" s="352">
        <f>+Z218-AA218</f>
        <v>-16000000</v>
      </c>
      <c r="AC218" s="352" t="str">
        <f>IF(Z218=0,"0",IF(Z218&gt;0,Y218-Z218,))</f>
        <v>0</v>
      </c>
      <c r="AD218" s="352">
        <f>+R218+-Y218+AB218</f>
        <v>0</v>
      </c>
      <c r="AG218" s="273"/>
      <c r="AH218" s="273"/>
    </row>
    <row r="219" spans="2:34" ht="30" customHeight="1" x14ac:dyDescent="0.2">
      <c r="B219" s="13" t="s">
        <v>7</v>
      </c>
      <c r="C219" s="14" t="s">
        <v>27</v>
      </c>
      <c r="D219" s="14" t="s">
        <v>8</v>
      </c>
      <c r="E219" s="14" t="s">
        <v>8</v>
      </c>
      <c r="F219" s="14" t="s">
        <v>11</v>
      </c>
      <c r="G219" s="14"/>
      <c r="H219" s="14"/>
      <c r="I219" s="14"/>
      <c r="J219" s="195"/>
      <c r="K219" s="13"/>
      <c r="L219" s="15" t="s">
        <v>57</v>
      </c>
      <c r="M219" s="15"/>
      <c r="N219" s="131"/>
      <c r="O219" s="154"/>
      <c r="P219" s="154"/>
      <c r="Q219" s="125">
        <f>+Q223+Q226+Q220</f>
        <v>60000000</v>
      </c>
      <c r="R219" s="16">
        <f>+R223+R226+R220</f>
        <v>80000000</v>
      </c>
      <c r="S219" s="218"/>
      <c r="T219" s="17"/>
      <c r="U219" s="252"/>
      <c r="V219" s="299"/>
      <c r="W219" s="329"/>
      <c r="X219" s="16"/>
      <c r="Y219" s="16"/>
      <c r="Z219" s="353"/>
      <c r="AA219" s="353"/>
      <c r="AB219" s="353"/>
      <c r="AC219" s="353"/>
      <c r="AD219" s="353"/>
      <c r="AG219" s="273"/>
      <c r="AH219" s="273"/>
    </row>
    <row r="220" spans="2:34" ht="30" customHeight="1" x14ac:dyDescent="0.2">
      <c r="B220" s="31" t="s">
        <v>7</v>
      </c>
      <c r="C220" s="32" t="s">
        <v>27</v>
      </c>
      <c r="D220" s="32" t="s">
        <v>8</v>
      </c>
      <c r="E220" s="32" t="s">
        <v>8</v>
      </c>
      <c r="F220" s="32" t="s">
        <v>11</v>
      </c>
      <c r="G220" s="32" t="s">
        <v>10</v>
      </c>
      <c r="H220" s="32"/>
      <c r="I220" s="32"/>
      <c r="J220" s="202"/>
      <c r="K220" s="31"/>
      <c r="L220" s="33" t="s">
        <v>58</v>
      </c>
      <c r="M220" s="33"/>
      <c r="N220" s="141"/>
      <c r="O220" s="164"/>
      <c r="P220" s="164"/>
      <c r="Q220" s="125">
        <f>+Q221</f>
        <v>0</v>
      </c>
      <c r="R220" s="34">
        <f>+R221</f>
        <v>20000000</v>
      </c>
      <c r="S220" s="32"/>
      <c r="T220" s="35"/>
      <c r="U220" s="261"/>
      <c r="V220" s="307"/>
      <c r="W220" s="337"/>
      <c r="X220" s="34"/>
      <c r="Y220" s="34"/>
      <c r="Z220" s="365"/>
      <c r="AA220" s="365"/>
      <c r="AB220" s="365"/>
      <c r="AC220" s="365"/>
      <c r="AD220" s="365"/>
      <c r="AG220" s="273"/>
      <c r="AH220" s="273"/>
    </row>
    <row r="221" spans="2:34" ht="15" customHeight="1" x14ac:dyDescent="0.2">
      <c r="B221" s="11" t="s">
        <v>7</v>
      </c>
      <c r="C221" s="4" t="s">
        <v>27</v>
      </c>
      <c r="D221" s="4" t="s">
        <v>8</v>
      </c>
      <c r="E221" s="4" t="s">
        <v>8</v>
      </c>
      <c r="F221" s="233" t="s">
        <v>11</v>
      </c>
      <c r="G221" s="233" t="s">
        <v>10</v>
      </c>
      <c r="H221" s="233" t="s">
        <v>8</v>
      </c>
      <c r="I221" s="4"/>
      <c r="J221" s="197"/>
      <c r="K221" s="11"/>
      <c r="L221" s="6" t="s">
        <v>59</v>
      </c>
      <c r="M221" s="6"/>
      <c r="N221" s="133"/>
      <c r="O221" s="156"/>
      <c r="P221" s="156"/>
      <c r="Q221" s="125">
        <v>0</v>
      </c>
      <c r="R221" s="5">
        <f>SUM(R222:R222)</f>
        <v>20000000</v>
      </c>
      <c r="S221" s="181"/>
      <c r="T221" s="9"/>
      <c r="U221" s="245"/>
      <c r="V221" s="301"/>
      <c r="W221" s="331"/>
      <c r="X221" s="5"/>
      <c r="Y221" s="5"/>
      <c r="Z221" s="355"/>
      <c r="AA221" s="355"/>
      <c r="AB221" s="355"/>
      <c r="AC221" s="355"/>
      <c r="AD221" s="355"/>
      <c r="AG221" s="273"/>
      <c r="AH221" s="273"/>
    </row>
    <row r="222" spans="2:34" ht="135" customHeight="1" x14ac:dyDescent="0.2">
      <c r="B222" s="679"/>
      <c r="C222" s="680"/>
      <c r="D222" s="680"/>
      <c r="E222" s="680"/>
      <c r="F222" s="680"/>
      <c r="G222" s="680"/>
      <c r="H222" s="680"/>
      <c r="I222" s="680"/>
      <c r="J222" s="681"/>
      <c r="K222" s="177" t="s">
        <v>312</v>
      </c>
      <c r="L222" s="178" t="s">
        <v>395</v>
      </c>
      <c r="M222" s="178"/>
      <c r="N222" s="134">
        <v>43891</v>
      </c>
      <c r="O222" s="157" t="s">
        <v>362</v>
      </c>
      <c r="P222" s="157" t="s">
        <v>360</v>
      </c>
      <c r="Q222" s="125"/>
      <c r="R222" s="101">
        <v>20000000</v>
      </c>
      <c r="S222" s="182" t="s">
        <v>386</v>
      </c>
      <c r="T222" s="102"/>
      <c r="U222" s="253" t="s">
        <v>222</v>
      </c>
      <c r="V222" s="302">
        <v>12620</v>
      </c>
      <c r="W222" s="332">
        <v>43871</v>
      </c>
      <c r="X222" s="174">
        <v>20000000</v>
      </c>
      <c r="Y222" s="174">
        <v>20000000</v>
      </c>
      <c r="Z222" s="352"/>
      <c r="AA222" s="352">
        <f>+R222-Y222</f>
        <v>0</v>
      </c>
      <c r="AB222" s="352">
        <f>+Z222-AA222</f>
        <v>0</v>
      </c>
      <c r="AC222" s="352" t="str">
        <f>IF(Z222=0,"0",IF(Z222&gt;0,Y222-Z222,))</f>
        <v>0</v>
      </c>
      <c r="AD222" s="352">
        <f>+R222+-Y222+AB222</f>
        <v>0</v>
      </c>
      <c r="AG222" s="273"/>
      <c r="AH222" s="273"/>
    </row>
    <row r="223" spans="2:34" ht="30" customHeight="1" x14ac:dyDescent="0.2">
      <c r="B223" s="31" t="s">
        <v>7</v>
      </c>
      <c r="C223" s="32" t="s">
        <v>27</v>
      </c>
      <c r="D223" s="32" t="s">
        <v>8</v>
      </c>
      <c r="E223" s="32" t="s">
        <v>8</v>
      </c>
      <c r="F223" s="32" t="s">
        <v>11</v>
      </c>
      <c r="G223" s="32" t="s">
        <v>11</v>
      </c>
      <c r="H223" s="32"/>
      <c r="I223" s="32"/>
      <c r="J223" s="202"/>
      <c r="K223" s="31"/>
      <c r="L223" s="33" t="s">
        <v>60</v>
      </c>
      <c r="M223" s="33"/>
      <c r="N223" s="141"/>
      <c r="O223" s="164"/>
      <c r="P223" s="164"/>
      <c r="Q223" s="125">
        <f>+Q224</f>
        <v>19000000</v>
      </c>
      <c r="R223" s="34">
        <f>+R224</f>
        <v>23000000</v>
      </c>
      <c r="S223" s="32"/>
      <c r="T223" s="35"/>
      <c r="U223" s="261"/>
      <c r="V223" s="307"/>
      <c r="W223" s="337"/>
      <c r="X223" s="34"/>
      <c r="Y223" s="34"/>
      <c r="Z223" s="365"/>
      <c r="AA223" s="365"/>
      <c r="AB223" s="365"/>
      <c r="AC223" s="365"/>
      <c r="AD223" s="365"/>
      <c r="AG223" s="273"/>
      <c r="AH223" s="273"/>
    </row>
    <row r="224" spans="2:34" ht="30" customHeight="1" x14ac:dyDescent="0.2">
      <c r="B224" s="11" t="s">
        <v>7</v>
      </c>
      <c r="C224" s="4" t="s">
        <v>27</v>
      </c>
      <c r="D224" s="4" t="s">
        <v>8</v>
      </c>
      <c r="E224" s="4" t="s">
        <v>8</v>
      </c>
      <c r="F224" s="4" t="s">
        <v>11</v>
      </c>
      <c r="G224" s="4" t="s">
        <v>11</v>
      </c>
      <c r="H224" s="4" t="s">
        <v>24</v>
      </c>
      <c r="I224" s="4"/>
      <c r="J224" s="197"/>
      <c r="K224" s="11"/>
      <c r="L224" s="6" t="s">
        <v>61</v>
      </c>
      <c r="M224" s="6"/>
      <c r="N224" s="133"/>
      <c r="O224" s="156"/>
      <c r="P224" s="156"/>
      <c r="Q224" s="125">
        <v>19000000</v>
      </c>
      <c r="R224" s="5">
        <f>SUM(R225:R225)</f>
        <v>23000000</v>
      </c>
      <c r="S224" s="181"/>
      <c r="T224" s="9"/>
      <c r="U224" s="245"/>
      <c r="V224" s="301"/>
      <c r="W224" s="331"/>
      <c r="X224" s="5"/>
      <c r="Y224" s="5"/>
      <c r="Z224" s="355"/>
      <c r="AA224" s="355"/>
      <c r="AB224" s="355"/>
      <c r="AC224" s="355"/>
      <c r="AD224" s="355"/>
      <c r="AG224" s="273"/>
      <c r="AH224" s="273"/>
    </row>
    <row r="225" spans="2:34" ht="45" x14ac:dyDescent="0.2">
      <c r="B225" s="679"/>
      <c r="C225" s="680"/>
      <c r="D225" s="680"/>
      <c r="E225" s="680"/>
      <c r="F225" s="680"/>
      <c r="G225" s="680"/>
      <c r="H225" s="680"/>
      <c r="I225" s="680"/>
      <c r="J225" s="681"/>
      <c r="K225" s="99">
        <v>15101500</v>
      </c>
      <c r="L225" s="178" t="s">
        <v>206</v>
      </c>
      <c r="M225" s="134">
        <v>43891</v>
      </c>
      <c r="N225" s="134">
        <v>43845</v>
      </c>
      <c r="O225" s="157" t="s">
        <v>324</v>
      </c>
      <c r="P225" s="157" t="s">
        <v>318</v>
      </c>
      <c r="Q225" s="125"/>
      <c r="R225" s="101">
        <f>19000000+4000000</f>
        <v>23000000</v>
      </c>
      <c r="S225" s="182" t="s">
        <v>386</v>
      </c>
      <c r="T225" s="102"/>
      <c r="U225" s="253" t="s">
        <v>221</v>
      </c>
      <c r="V225" s="302">
        <v>9120</v>
      </c>
      <c r="W225" s="332">
        <v>43854</v>
      </c>
      <c r="X225" s="174">
        <v>23000000</v>
      </c>
      <c r="Y225" s="174">
        <v>23000000</v>
      </c>
      <c r="Z225" s="352">
        <v>23000000</v>
      </c>
      <c r="AA225" s="352">
        <f>+R225-Y225</f>
        <v>0</v>
      </c>
      <c r="AB225" s="352">
        <f>+Z225-AA225</f>
        <v>23000000</v>
      </c>
      <c r="AC225" s="352">
        <f>IF(Z225=0,"0",IF(Z225&gt;0,Y225-Z225,))</f>
        <v>0</v>
      </c>
      <c r="AD225" s="352">
        <f>+R225-Y225+AB225</f>
        <v>23000000</v>
      </c>
      <c r="AG225" s="273"/>
      <c r="AH225" s="273"/>
    </row>
    <row r="226" spans="2:34" ht="17.649999999999999" customHeight="1" x14ac:dyDescent="0.2">
      <c r="B226" s="31" t="s">
        <v>7</v>
      </c>
      <c r="C226" s="32" t="s">
        <v>27</v>
      </c>
      <c r="D226" s="32" t="s">
        <v>8</v>
      </c>
      <c r="E226" s="32" t="s">
        <v>8</v>
      </c>
      <c r="F226" s="32" t="s">
        <v>11</v>
      </c>
      <c r="G226" s="32" t="s">
        <v>15</v>
      </c>
      <c r="H226" s="32"/>
      <c r="I226" s="32"/>
      <c r="J226" s="202"/>
      <c r="K226" s="31"/>
      <c r="L226" s="33" t="s">
        <v>71</v>
      </c>
      <c r="M226" s="33"/>
      <c r="N226" s="141"/>
      <c r="O226" s="164"/>
      <c r="P226" s="164"/>
      <c r="Q226" s="125">
        <f>SUM(Q227:Q227)</f>
        <v>41000000</v>
      </c>
      <c r="R226" s="34">
        <f>SUM(R227:R227)</f>
        <v>37000000</v>
      </c>
      <c r="S226" s="235"/>
      <c r="T226" s="35"/>
      <c r="U226" s="261"/>
      <c r="V226" s="307"/>
      <c r="W226" s="337"/>
      <c r="X226" s="34"/>
      <c r="Y226" s="34"/>
      <c r="Z226" s="365"/>
      <c r="AA226" s="365"/>
      <c r="AB226" s="365"/>
      <c r="AC226" s="365"/>
      <c r="AD226" s="365"/>
      <c r="AG226" s="273"/>
      <c r="AH226" s="273"/>
    </row>
    <row r="227" spans="2:34" ht="15" customHeight="1" x14ac:dyDescent="0.2">
      <c r="B227" s="11" t="s">
        <v>7</v>
      </c>
      <c r="C227" s="4" t="s">
        <v>27</v>
      </c>
      <c r="D227" s="4" t="s">
        <v>8</v>
      </c>
      <c r="E227" s="4" t="s">
        <v>8</v>
      </c>
      <c r="F227" s="4" t="s">
        <v>11</v>
      </c>
      <c r="G227" s="4" t="s">
        <v>15</v>
      </c>
      <c r="H227" s="4" t="s">
        <v>8</v>
      </c>
      <c r="I227" s="4"/>
      <c r="J227" s="197"/>
      <c r="K227" s="11"/>
      <c r="L227" s="6" t="s">
        <v>72</v>
      </c>
      <c r="M227" s="6"/>
      <c r="N227" s="133"/>
      <c r="O227" s="156"/>
      <c r="P227" s="156"/>
      <c r="Q227" s="125">
        <v>41000000</v>
      </c>
      <c r="R227" s="5">
        <f>SUM(R228:R228)</f>
        <v>37000000</v>
      </c>
      <c r="S227" s="181"/>
      <c r="T227" s="9"/>
      <c r="U227" s="245"/>
      <c r="V227" s="301"/>
      <c r="W227" s="331"/>
      <c r="X227" s="5"/>
      <c r="Y227" s="5"/>
      <c r="Z227" s="355"/>
      <c r="AA227" s="355"/>
      <c r="AB227" s="355"/>
      <c r="AC227" s="355"/>
      <c r="AD227" s="355"/>
      <c r="AG227" s="273"/>
      <c r="AH227" s="273"/>
    </row>
    <row r="228" spans="2:34" ht="45" customHeight="1" x14ac:dyDescent="0.2">
      <c r="B228" s="679"/>
      <c r="C228" s="680"/>
      <c r="D228" s="680"/>
      <c r="E228" s="680"/>
      <c r="F228" s="680"/>
      <c r="G228" s="680"/>
      <c r="H228" s="680"/>
      <c r="I228" s="680"/>
      <c r="J228" s="681"/>
      <c r="K228" s="177" t="s">
        <v>325</v>
      </c>
      <c r="L228" s="178" t="s">
        <v>217</v>
      </c>
      <c r="M228" s="134">
        <v>43845</v>
      </c>
      <c r="N228" s="134">
        <v>43876</v>
      </c>
      <c r="O228" s="157" t="s">
        <v>296</v>
      </c>
      <c r="P228" s="157" t="s">
        <v>319</v>
      </c>
      <c r="Q228" s="125"/>
      <c r="R228" s="101">
        <f>41000000-4000000</f>
        <v>37000000</v>
      </c>
      <c r="S228" s="182" t="s">
        <v>386</v>
      </c>
      <c r="T228" s="102"/>
      <c r="U228" s="253" t="s">
        <v>221</v>
      </c>
      <c r="V228" s="302">
        <v>6820</v>
      </c>
      <c r="W228" s="332">
        <v>43852</v>
      </c>
      <c r="X228" s="174">
        <v>37000000</v>
      </c>
      <c r="Y228" s="174">
        <v>37000000</v>
      </c>
      <c r="Z228" s="352">
        <v>37000000</v>
      </c>
      <c r="AA228" s="352">
        <f>+R228-Y228</f>
        <v>0</v>
      </c>
      <c r="AB228" s="352">
        <f>+Z228-AA228</f>
        <v>37000000</v>
      </c>
      <c r="AC228" s="352">
        <f>IF(Z228=0,"0",IF(Z228&gt;0,Y228-Z228,))</f>
        <v>0</v>
      </c>
      <c r="AD228" s="352">
        <f>+R228-Y228+AB228</f>
        <v>37000000</v>
      </c>
      <c r="AG228" s="273"/>
      <c r="AH228" s="273"/>
    </row>
    <row r="229" spans="2:34" ht="15" customHeight="1" x14ac:dyDescent="0.2">
      <c r="B229" s="13" t="s">
        <v>7</v>
      </c>
      <c r="C229" s="14" t="s">
        <v>27</v>
      </c>
      <c r="D229" s="14" t="s">
        <v>8</v>
      </c>
      <c r="E229" s="14" t="s">
        <v>8</v>
      </c>
      <c r="F229" s="14" t="s">
        <v>12</v>
      </c>
      <c r="G229" s="14"/>
      <c r="H229" s="14"/>
      <c r="I229" s="14"/>
      <c r="J229" s="195"/>
      <c r="K229" s="13"/>
      <c r="L229" s="15" t="s">
        <v>121</v>
      </c>
      <c r="M229" s="15"/>
      <c r="N229" s="131"/>
      <c r="O229" s="154"/>
      <c r="P229" s="154"/>
      <c r="Q229" s="125">
        <f>+Q230+Q233+Q236</f>
        <v>512000000</v>
      </c>
      <c r="R229" s="16">
        <f>+R230+R233+R236</f>
        <v>492000000</v>
      </c>
      <c r="S229" s="218"/>
      <c r="T229" s="17"/>
      <c r="U229" s="252"/>
      <c r="V229" s="299"/>
      <c r="W229" s="329"/>
      <c r="X229" s="16"/>
      <c r="Y229" s="16"/>
      <c r="Z229" s="353"/>
      <c r="AA229" s="353"/>
      <c r="AB229" s="353"/>
      <c r="AC229" s="353"/>
      <c r="AD229" s="353"/>
      <c r="AG229" s="273"/>
      <c r="AH229" s="273"/>
    </row>
    <row r="230" spans="2:34" ht="17.649999999999999" customHeight="1" x14ac:dyDescent="0.2">
      <c r="B230" s="31" t="s">
        <v>7</v>
      </c>
      <c r="C230" s="32" t="s">
        <v>27</v>
      </c>
      <c r="D230" s="32" t="s">
        <v>8</v>
      </c>
      <c r="E230" s="32" t="s">
        <v>8</v>
      </c>
      <c r="F230" s="32" t="s">
        <v>12</v>
      </c>
      <c r="G230" s="32" t="s">
        <v>10</v>
      </c>
      <c r="H230" s="32"/>
      <c r="I230" s="32"/>
      <c r="J230" s="202"/>
      <c r="K230" s="31"/>
      <c r="L230" s="33" t="s">
        <v>74</v>
      </c>
      <c r="M230" s="33"/>
      <c r="N230" s="141"/>
      <c r="O230" s="164"/>
      <c r="P230" s="164"/>
      <c r="Q230" s="125">
        <v>190000000</v>
      </c>
      <c r="R230" s="34">
        <f>SUM(R231:R232)</f>
        <v>60000000</v>
      </c>
      <c r="S230" s="32"/>
      <c r="T230" s="35"/>
      <c r="U230" s="261"/>
      <c r="V230" s="307"/>
      <c r="W230" s="337"/>
      <c r="X230" s="34"/>
      <c r="Y230" s="34"/>
      <c r="Z230" s="365"/>
      <c r="AA230" s="365"/>
      <c r="AB230" s="365"/>
      <c r="AC230" s="365"/>
      <c r="AD230" s="365"/>
      <c r="AG230" s="273"/>
      <c r="AH230" s="273"/>
    </row>
    <row r="231" spans="2:34" ht="30" customHeight="1" x14ac:dyDescent="0.2">
      <c r="B231" s="677"/>
      <c r="C231" s="678"/>
      <c r="D231" s="678"/>
      <c r="E231" s="678"/>
      <c r="F231" s="678"/>
      <c r="G231" s="678"/>
      <c r="H231" s="678"/>
      <c r="I231" s="678"/>
      <c r="J231" s="678"/>
      <c r="K231" s="177" t="s">
        <v>327</v>
      </c>
      <c r="L231" s="178" t="s">
        <v>330</v>
      </c>
      <c r="M231" s="134">
        <v>43941</v>
      </c>
      <c r="N231" s="134">
        <v>43971</v>
      </c>
      <c r="O231" s="157" t="s">
        <v>331</v>
      </c>
      <c r="P231" s="157" t="s">
        <v>319</v>
      </c>
      <c r="Q231" s="125"/>
      <c r="R231" s="101">
        <v>30000000</v>
      </c>
      <c r="S231" s="182" t="s">
        <v>386</v>
      </c>
      <c r="T231" s="102"/>
      <c r="U231" s="253" t="s">
        <v>221</v>
      </c>
      <c r="V231" s="302"/>
      <c r="W231" s="332"/>
      <c r="X231" s="174"/>
      <c r="Y231" s="174"/>
      <c r="Z231" s="352"/>
      <c r="AA231" s="352"/>
      <c r="AB231" s="352"/>
      <c r="AC231" s="352"/>
      <c r="AD231" s="352"/>
      <c r="AG231" s="273"/>
      <c r="AH231" s="273"/>
    </row>
    <row r="232" spans="2:34" ht="30" customHeight="1" x14ac:dyDescent="0.2">
      <c r="B232" s="682"/>
      <c r="C232" s="683"/>
      <c r="D232" s="683"/>
      <c r="E232" s="683"/>
      <c r="F232" s="683"/>
      <c r="G232" s="683"/>
      <c r="H232" s="683"/>
      <c r="I232" s="683"/>
      <c r="J232" s="683"/>
      <c r="K232" s="177" t="s">
        <v>328</v>
      </c>
      <c r="L232" s="100" t="s">
        <v>329</v>
      </c>
      <c r="M232" s="134">
        <v>43891</v>
      </c>
      <c r="N232" s="134">
        <v>43922</v>
      </c>
      <c r="O232" s="157" t="s">
        <v>331</v>
      </c>
      <c r="P232" s="157" t="s">
        <v>319</v>
      </c>
      <c r="Q232" s="125"/>
      <c r="R232" s="101">
        <v>30000000</v>
      </c>
      <c r="S232" s="182" t="s">
        <v>386</v>
      </c>
      <c r="T232" s="102"/>
      <c r="U232" s="253" t="s">
        <v>221</v>
      </c>
      <c r="V232" s="302"/>
      <c r="W232" s="332"/>
      <c r="X232" s="174"/>
      <c r="Y232" s="174"/>
      <c r="Z232" s="352"/>
      <c r="AA232" s="352"/>
      <c r="AB232" s="352"/>
      <c r="AC232" s="352"/>
      <c r="AD232" s="352"/>
      <c r="AG232" s="273"/>
      <c r="AH232" s="273"/>
    </row>
    <row r="233" spans="2:34" ht="15" customHeight="1" x14ac:dyDescent="0.2">
      <c r="B233" s="31" t="s">
        <v>7</v>
      </c>
      <c r="C233" s="32" t="s">
        <v>27</v>
      </c>
      <c r="D233" s="32" t="s">
        <v>8</v>
      </c>
      <c r="E233" s="32" t="s">
        <v>8</v>
      </c>
      <c r="F233" s="32" t="s">
        <v>12</v>
      </c>
      <c r="G233" s="32" t="s">
        <v>11</v>
      </c>
      <c r="H233" s="32"/>
      <c r="I233" s="32"/>
      <c r="J233" s="202"/>
      <c r="K233" s="31"/>
      <c r="L233" s="33" t="s">
        <v>37</v>
      </c>
      <c r="M233" s="33"/>
      <c r="N233" s="141"/>
      <c r="O233" s="164"/>
      <c r="P233" s="164"/>
      <c r="Q233" s="125">
        <f>+Q234</f>
        <v>0</v>
      </c>
      <c r="R233" s="34">
        <f>+R234</f>
        <v>130000000</v>
      </c>
      <c r="S233" s="32"/>
      <c r="T233" s="35"/>
      <c r="U233" s="261"/>
      <c r="V233" s="307"/>
      <c r="W233" s="337"/>
      <c r="X233" s="34"/>
      <c r="Y233" s="34"/>
      <c r="Z233" s="365"/>
      <c r="AA233" s="365"/>
      <c r="AB233" s="365"/>
      <c r="AC233" s="365"/>
      <c r="AD233" s="365"/>
      <c r="AG233" s="273"/>
      <c r="AH233" s="273"/>
    </row>
    <row r="234" spans="2:34" ht="30" customHeight="1" x14ac:dyDescent="0.2">
      <c r="B234" s="11" t="s">
        <v>7</v>
      </c>
      <c r="C234" s="4" t="s">
        <v>27</v>
      </c>
      <c r="D234" s="4" t="s">
        <v>8</v>
      </c>
      <c r="E234" s="4" t="s">
        <v>8</v>
      </c>
      <c r="F234" s="4" t="s">
        <v>12</v>
      </c>
      <c r="G234" s="4" t="s">
        <v>11</v>
      </c>
      <c r="H234" s="4" t="s">
        <v>24</v>
      </c>
      <c r="I234" s="4"/>
      <c r="J234" s="197"/>
      <c r="K234" s="11"/>
      <c r="L234" s="6" t="s">
        <v>38</v>
      </c>
      <c r="M234" s="6"/>
      <c r="N234" s="133"/>
      <c r="O234" s="156"/>
      <c r="P234" s="156"/>
      <c r="Q234" s="125">
        <v>0</v>
      </c>
      <c r="R234" s="5">
        <f>SUM(R235:R235)</f>
        <v>130000000</v>
      </c>
      <c r="S234" s="181"/>
      <c r="T234" s="9"/>
      <c r="U234" s="245"/>
      <c r="V234" s="301"/>
      <c r="W234" s="331"/>
      <c r="X234" s="5"/>
      <c r="Y234" s="5"/>
      <c r="Z234" s="355"/>
      <c r="AA234" s="355"/>
      <c r="AB234" s="355"/>
      <c r="AC234" s="355"/>
      <c r="AD234" s="355"/>
      <c r="AG234" s="273"/>
      <c r="AH234" s="273"/>
    </row>
    <row r="235" spans="2:34" ht="30" customHeight="1" x14ac:dyDescent="0.2">
      <c r="B235" s="677"/>
      <c r="C235" s="678"/>
      <c r="D235" s="678"/>
      <c r="E235" s="678"/>
      <c r="F235" s="678"/>
      <c r="G235" s="678"/>
      <c r="H235" s="678"/>
      <c r="I235" s="678"/>
      <c r="J235" s="678"/>
      <c r="K235" s="99">
        <v>40101800</v>
      </c>
      <c r="L235" s="100" t="s">
        <v>219</v>
      </c>
      <c r="M235" s="100"/>
      <c r="N235" s="134">
        <v>43905</v>
      </c>
      <c r="O235" s="157" t="s">
        <v>332</v>
      </c>
      <c r="P235" s="157" t="s">
        <v>334</v>
      </c>
      <c r="Q235" s="125"/>
      <c r="R235" s="101">
        <v>130000000</v>
      </c>
      <c r="S235" s="182" t="s">
        <v>386</v>
      </c>
      <c r="T235" s="102"/>
      <c r="U235" s="253" t="s">
        <v>221</v>
      </c>
      <c r="V235" s="302">
        <v>12420</v>
      </c>
      <c r="W235" s="332">
        <v>0</v>
      </c>
      <c r="X235" s="174">
        <v>130000000</v>
      </c>
      <c r="Y235" s="174">
        <v>130000000</v>
      </c>
      <c r="Z235" s="352">
        <v>130000000</v>
      </c>
      <c r="AA235" s="352">
        <f>+R235-Y235</f>
        <v>0</v>
      </c>
      <c r="AB235" s="352">
        <f>+Z235-AA235</f>
        <v>130000000</v>
      </c>
      <c r="AC235" s="352">
        <f>IF(Z235=0,"0",IF(Z235&gt;0,Y235-Z235,))</f>
        <v>0</v>
      </c>
      <c r="AD235" s="352">
        <f>+R235-Y235+AB235</f>
        <v>130000000</v>
      </c>
      <c r="AG235" s="273"/>
      <c r="AH235" s="273"/>
    </row>
    <row r="236" spans="2:34" ht="15" customHeight="1" x14ac:dyDescent="0.2">
      <c r="B236" s="31" t="s">
        <v>7</v>
      </c>
      <c r="C236" s="32" t="s">
        <v>27</v>
      </c>
      <c r="D236" s="32" t="s">
        <v>8</v>
      </c>
      <c r="E236" s="32" t="s">
        <v>8</v>
      </c>
      <c r="F236" s="32" t="s">
        <v>12</v>
      </c>
      <c r="G236" s="32" t="s">
        <v>12</v>
      </c>
      <c r="H236" s="32"/>
      <c r="I236" s="32"/>
      <c r="J236" s="202"/>
      <c r="K236" s="31"/>
      <c r="L236" s="33" t="s">
        <v>39</v>
      </c>
      <c r="M236" s="33"/>
      <c r="N236" s="141"/>
      <c r="O236" s="164"/>
      <c r="P236" s="164"/>
      <c r="Q236" s="125">
        <f>+Q237</f>
        <v>322000000</v>
      </c>
      <c r="R236" s="34">
        <f>+R237</f>
        <v>302000000</v>
      </c>
      <c r="S236" s="235"/>
      <c r="T236" s="35"/>
      <c r="U236" s="261"/>
      <c r="V236" s="307"/>
      <c r="W236" s="337"/>
      <c r="X236" s="34"/>
      <c r="Y236" s="34"/>
      <c r="Z236" s="365"/>
      <c r="AA236" s="365"/>
      <c r="AB236" s="365"/>
      <c r="AC236" s="365"/>
      <c r="AD236" s="365"/>
      <c r="AG236" s="273"/>
      <c r="AH236" s="273"/>
    </row>
    <row r="237" spans="2:34" ht="15" customHeight="1" x14ac:dyDescent="0.2">
      <c r="B237" s="11" t="s">
        <v>7</v>
      </c>
      <c r="C237" s="4" t="s">
        <v>27</v>
      </c>
      <c r="D237" s="4" t="s">
        <v>8</v>
      </c>
      <c r="E237" s="4" t="s">
        <v>8</v>
      </c>
      <c r="F237" s="4" t="s">
        <v>12</v>
      </c>
      <c r="G237" s="4" t="s">
        <v>12</v>
      </c>
      <c r="H237" s="4" t="s">
        <v>20</v>
      </c>
      <c r="I237" s="4"/>
      <c r="J237" s="197"/>
      <c r="K237" s="11"/>
      <c r="L237" s="6" t="s">
        <v>40</v>
      </c>
      <c r="M237" s="6"/>
      <c r="N237" s="133"/>
      <c r="O237" s="156"/>
      <c r="P237" s="156"/>
      <c r="Q237" s="125">
        <v>322000000</v>
      </c>
      <c r="R237" s="5">
        <f>SUM(R238:R238)</f>
        <v>302000000</v>
      </c>
      <c r="S237" s="181"/>
      <c r="T237" s="9"/>
      <c r="U237" s="245"/>
      <c r="V237" s="301"/>
      <c r="W237" s="331"/>
      <c r="X237" s="5"/>
      <c r="Y237" s="5"/>
      <c r="Z237" s="355"/>
      <c r="AA237" s="355"/>
      <c r="AB237" s="355"/>
      <c r="AC237" s="355"/>
      <c r="AD237" s="355"/>
      <c r="AG237" s="273"/>
      <c r="AH237" s="273"/>
    </row>
    <row r="238" spans="2:34" ht="45" customHeight="1" x14ac:dyDescent="0.2">
      <c r="B238" s="677"/>
      <c r="C238" s="678"/>
      <c r="D238" s="678"/>
      <c r="E238" s="678"/>
      <c r="F238" s="678"/>
      <c r="G238" s="678"/>
      <c r="H238" s="678"/>
      <c r="I238" s="678"/>
      <c r="J238" s="678"/>
      <c r="K238" s="177" t="s">
        <v>333</v>
      </c>
      <c r="L238" s="178" t="s">
        <v>200</v>
      </c>
      <c r="M238" s="134">
        <v>43845</v>
      </c>
      <c r="N238" s="134">
        <v>43876</v>
      </c>
      <c r="O238" s="157" t="s">
        <v>332</v>
      </c>
      <c r="P238" s="157" t="s">
        <v>319</v>
      </c>
      <c r="Q238" s="125"/>
      <c r="R238" s="101">
        <f>180000000+272000000-130000000-20000000</f>
        <v>302000000</v>
      </c>
      <c r="S238" s="182" t="s">
        <v>386</v>
      </c>
      <c r="T238" s="102"/>
      <c r="U238" s="253" t="s">
        <v>221</v>
      </c>
      <c r="V238" s="302">
        <v>8620</v>
      </c>
      <c r="W238" s="332">
        <v>43853</v>
      </c>
      <c r="X238" s="174">
        <v>180000000</v>
      </c>
      <c r="Y238" s="174">
        <v>180000000</v>
      </c>
      <c r="Z238" s="352">
        <v>47549354</v>
      </c>
      <c r="AA238" s="352">
        <f>+R238-Y238</f>
        <v>122000000</v>
      </c>
      <c r="AB238" s="352">
        <f>+Z238-AA238</f>
        <v>-74450646</v>
      </c>
      <c r="AC238" s="352">
        <f>IF(Z238=0,"0",IF(Z238&gt;0,Y238-Z238,))</f>
        <v>132450646</v>
      </c>
      <c r="AD238" s="352">
        <f>+R238-Y238+AB238</f>
        <v>47549354</v>
      </c>
      <c r="AG238" s="273"/>
      <c r="AH238" s="273"/>
    </row>
    <row r="239" spans="2:34" ht="15" customHeight="1" x14ac:dyDescent="0.2">
      <c r="B239" s="21" t="s">
        <v>7</v>
      </c>
      <c r="C239" s="22" t="s">
        <v>27</v>
      </c>
      <c r="D239" s="22" t="s">
        <v>8</v>
      </c>
      <c r="E239" s="22" t="s">
        <v>20</v>
      </c>
      <c r="F239" s="22"/>
      <c r="G239" s="22"/>
      <c r="H239" s="22"/>
      <c r="I239" s="22"/>
      <c r="J239" s="201"/>
      <c r="K239" s="21"/>
      <c r="L239" s="23" t="s">
        <v>75</v>
      </c>
      <c r="M239" s="23"/>
      <c r="N239" s="140"/>
      <c r="O239" s="163"/>
      <c r="P239" s="163"/>
      <c r="Q239" s="125">
        <f>+Q240+Q269+Q260+Q288</f>
        <v>7942000000</v>
      </c>
      <c r="R239" s="24">
        <f>+R240+R269+R288+R260</f>
        <v>7942000000</v>
      </c>
      <c r="S239" s="234"/>
      <c r="T239" s="25"/>
      <c r="U239" s="260"/>
      <c r="V239" s="306"/>
      <c r="W239" s="336"/>
      <c r="X239" s="24"/>
      <c r="Y239" s="24"/>
      <c r="Z239" s="364"/>
      <c r="AA239" s="364"/>
      <c r="AB239" s="364"/>
      <c r="AC239" s="364"/>
      <c r="AD239" s="364"/>
      <c r="AG239" s="273"/>
      <c r="AH239" s="273"/>
    </row>
    <row r="240" spans="2:34" ht="15" customHeight="1" x14ac:dyDescent="0.2">
      <c r="B240" s="13" t="s">
        <v>7</v>
      </c>
      <c r="C240" s="14" t="s">
        <v>27</v>
      </c>
      <c r="D240" s="14" t="s">
        <v>8</v>
      </c>
      <c r="E240" s="14" t="s">
        <v>20</v>
      </c>
      <c r="F240" s="14" t="s">
        <v>13</v>
      </c>
      <c r="G240" s="14"/>
      <c r="H240" s="14"/>
      <c r="I240" s="14"/>
      <c r="J240" s="195"/>
      <c r="K240" s="13"/>
      <c r="L240" s="15" t="s">
        <v>76</v>
      </c>
      <c r="M240" s="15"/>
      <c r="N240" s="131"/>
      <c r="O240" s="154"/>
      <c r="P240" s="154"/>
      <c r="Q240" s="125">
        <f>+Q241</f>
        <v>6489000000</v>
      </c>
      <c r="R240" s="16">
        <f>+R241</f>
        <v>6489000000</v>
      </c>
      <c r="S240" s="218"/>
      <c r="T240" s="17"/>
      <c r="U240" s="252"/>
      <c r="V240" s="299"/>
      <c r="W240" s="329"/>
      <c r="X240" s="16"/>
      <c r="Y240" s="16"/>
      <c r="Z240" s="353"/>
      <c r="AA240" s="353"/>
      <c r="AB240" s="353"/>
      <c r="AC240" s="353"/>
      <c r="AD240" s="353"/>
      <c r="AG240" s="273"/>
      <c r="AH240" s="273"/>
    </row>
    <row r="241" spans="2:34" ht="15" customHeight="1" x14ac:dyDescent="0.2">
      <c r="B241" s="31" t="s">
        <v>7</v>
      </c>
      <c r="C241" s="32" t="s">
        <v>27</v>
      </c>
      <c r="D241" s="32" t="s">
        <v>8</v>
      </c>
      <c r="E241" s="32" t="s">
        <v>20</v>
      </c>
      <c r="F241" s="32" t="s">
        <v>13</v>
      </c>
      <c r="G241" s="32" t="s">
        <v>12</v>
      </c>
      <c r="H241" s="32"/>
      <c r="I241" s="32"/>
      <c r="J241" s="202"/>
      <c r="K241" s="31"/>
      <c r="L241" s="33" t="s">
        <v>77</v>
      </c>
      <c r="M241" s="33"/>
      <c r="N241" s="141"/>
      <c r="O241" s="164"/>
      <c r="P241" s="164"/>
      <c r="Q241" s="125">
        <f>+Q242+Q253+Q257</f>
        <v>6489000000</v>
      </c>
      <c r="R241" s="34">
        <f>+R242+R253+R257</f>
        <v>6489000000</v>
      </c>
      <c r="S241" s="235"/>
      <c r="T241" s="35"/>
      <c r="U241" s="261"/>
      <c r="V241" s="307"/>
      <c r="W241" s="337"/>
      <c r="X241" s="34"/>
      <c r="Y241" s="34"/>
      <c r="Z241" s="365"/>
      <c r="AA241" s="365"/>
      <c r="AB241" s="365"/>
      <c r="AC241" s="365"/>
      <c r="AD241" s="365"/>
      <c r="AG241" s="273"/>
      <c r="AH241" s="273"/>
    </row>
    <row r="242" spans="2:34" ht="15" customHeight="1" x14ac:dyDescent="0.2">
      <c r="B242" s="11" t="s">
        <v>7</v>
      </c>
      <c r="C242" s="4" t="s">
        <v>27</v>
      </c>
      <c r="D242" s="4" t="s">
        <v>8</v>
      </c>
      <c r="E242" s="4" t="s">
        <v>20</v>
      </c>
      <c r="F242" s="4" t="s">
        <v>13</v>
      </c>
      <c r="G242" s="4" t="s">
        <v>12</v>
      </c>
      <c r="H242" s="4" t="s">
        <v>27</v>
      </c>
      <c r="I242" s="4"/>
      <c r="J242" s="197"/>
      <c r="K242" s="11"/>
      <c r="L242" s="6" t="s">
        <v>78</v>
      </c>
      <c r="M242" s="6"/>
      <c r="N242" s="133"/>
      <c r="O242" s="156"/>
      <c r="P242" s="156"/>
      <c r="Q242" s="125">
        <f>1418000000+3088000000+1000000000</f>
        <v>5506000000</v>
      </c>
      <c r="R242" s="5">
        <f>SUM(R243:R252)</f>
        <v>5470340000</v>
      </c>
      <c r="S242" s="183"/>
      <c r="T242" s="9"/>
      <c r="U242" s="245"/>
      <c r="V242" s="301"/>
      <c r="W242" s="331"/>
      <c r="X242" s="5"/>
      <c r="Y242" s="5"/>
      <c r="Z242" s="355"/>
      <c r="AA242" s="355"/>
      <c r="AB242" s="355"/>
      <c r="AC242" s="355"/>
      <c r="AD242" s="355"/>
      <c r="AG242" s="273"/>
      <c r="AH242" s="273"/>
    </row>
    <row r="243" spans="2:34" ht="45" customHeight="1" x14ac:dyDescent="0.2">
      <c r="B243" s="677"/>
      <c r="C243" s="678"/>
      <c r="D243" s="678"/>
      <c r="E243" s="678"/>
      <c r="F243" s="678"/>
      <c r="G243" s="678"/>
      <c r="H243" s="678"/>
      <c r="I243" s="678"/>
      <c r="J243" s="678"/>
      <c r="K243" s="177" t="s">
        <v>335</v>
      </c>
      <c r="L243" s="178" t="s">
        <v>199</v>
      </c>
      <c r="M243" s="134">
        <v>43905</v>
      </c>
      <c r="N243" s="134">
        <v>43966</v>
      </c>
      <c r="O243" s="157" t="s">
        <v>311</v>
      </c>
      <c r="P243" s="157" t="s">
        <v>336</v>
      </c>
      <c r="Q243" s="125"/>
      <c r="R243" s="101">
        <v>1959340000</v>
      </c>
      <c r="S243" s="182" t="s">
        <v>386</v>
      </c>
      <c r="T243" s="102"/>
      <c r="U243" s="253" t="s">
        <v>221</v>
      </c>
      <c r="V243" s="302">
        <v>31720</v>
      </c>
      <c r="W243" s="332">
        <v>43986</v>
      </c>
      <c r="X243" s="174">
        <v>1959340000</v>
      </c>
      <c r="Y243" s="174">
        <v>1959340000</v>
      </c>
      <c r="Z243" s="352">
        <v>0</v>
      </c>
      <c r="AA243" s="352">
        <f t="shared" ref="AA243:AA252" si="19">+R243-Y243</f>
        <v>0</v>
      </c>
      <c r="AB243" s="352">
        <f t="shared" ref="AB243:AB252" si="20">+Z243-AA243</f>
        <v>0</v>
      </c>
      <c r="AC243" s="352" t="str">
        <f t="shared" ref="AC243:AC252" si="21">IF(Z243=0,"0",IF(Z243&gt;0,Y243-Z243,))</f>
        <v>0</v>
      </c>
      <c r="AD243" s="352">
        <f t="shared" ref="AD243:AD252" si="22">+R243-Y243+AB243</f>
        <v>0</v>
      </c>
      <c r="AG243" s="273"/>
      <c r="AH243" s="273"/>
    </row>
    <row r="244" spans="2:34" ht="45" customHeight="1" x14ac:dyDescent="0.2">
      <c r="B244" s="682"/>
      <c r="C244" s="683"/>
      <c r="D244" s="683"/>
      <c r="E244" s="683"/>
      <c r="F244" s="683"/>
      <c r="G244" s="683"/>
      <c r="H244" s="683"/>
      <c r="I244" s="683"/>
      <c r="J244" s="683"/>
      <c r="K244" s="176" t="s">
        <v>335</v>
      </c>
      <c r="L244" s="179" t="s">
        <v>225</v>
      </c>
      <c r="M244" s="179"/>
      <c r="N244" s="135">
        <v>43966</v>
      </c>
      <c r="O244" s="158" t="s">
        <v>296</v>
      </c>
      <c r="P244" s="158"/>
      <c r="Q244" s="125"/>
      <c r="R244" s="111">
        <v>1120000000</v>
      </c>
      <c r="S244" s="184"/>
      <c r="T244" s="112"/>
      <c r="U244" s="254" t="s">
        <v>221</v>
      </c>
      <c r="V244" s="302">
        <v>3420</v>
      </c>
      <c r="W244" s="332">
        <v>43844</v>
      </c>
      <c r="X244" s="174">
        <v>1120000000</v>
      </c>
      <c r="Y244" s="174">
        <v>1120000000</v>
      </c>
      <c r="Z244" s="352">
        <v>1120000000</v>
      </c>
      <c r="AA244" s="352">
        <f t="shared" si="19"/>
        <v>0</v>
      </c>
      <c r="AB244" s="352">
        <f t="shared" si="20"/>
        <v>1120000000</v>
      </c>
      <c r="AC244" s="352">
        <f t="shared" si="21"/>
        <v>0</v>
      </c>
      <c r="AD244" s="352">
        <f t="shared" si="22"/>
        <v>1120000000</v>
      </c>
      <c r="AG244" s="273"/>
      <c r="AH244" s="273"/>
    </row>
    <row r="245" spans="2:34" ht="45" customHeight="1" x14ac:dyDescent="0.2">
      <c r="B245" s="682"/>
      <c r="C245" s="683"/>
      <c r="D245" s="683"/>
      <c r="E245" s="683"/>
      <c r="F245" s="683"/>
      <c r="G245" s="683"/>
      <c r="H245" s="683"/>
      <c r="I245" s="683"/>
      <c r="J245" s="683"/>
      <c r="K245" s="177" t="s">
        <v>335</v>
      </c>
      <c r="L245" s="178" t="s">
        <v>198</v>
      </c>
      <c r="M245" s="134">
        <v>43905</v>
      </c>
      <c r="N245" s="134">
        <v>43966</v>
      </c>
      <c r="O245" s="157" t="s">
        <v>301</v>
      </c>
      <c r="P245" s="157" t="s">
        <v>336</v>
      </c>
      <c r="Q245" s="125"/>
      <c r="R245" s="101">
        <v>800000000</v>
      </c>
      <c r="S245" s="182" t="s">
        <v>322</v>
      </c>
      <c r="T245" s="101">
        <v>1920000000</v>
      </c>
      <c r="U245" s="253" t="s">
        <v>221</v>
      </c>
      <c r="V245" s="302"/>
      <c r="W245" s="332"/>
      <c r="X245" s="174"/>
      <c r="Y245" s="174"/>
      <c r="Z245" s="352"/>
      <c r="AA245" s="352">
        <f t="shared" si="19"/>
        <v>800000000</v>
      </c>
      <c r="AB245" s="352">
        <f t="shared" si="20"/>
        <v>-800000000</v>
      </c>
      <c r="AC245" s="352" t="str">
        <f t="shared" si="21"/>
        <v>0</v>
      </c>
      <c r="AD245" s="352">
        <f t="shared" si="22"/>
        <v>0</v>
      </c>
      <c r="AG245" s="273"/>
      <c r="AH245" s="273"/>
    </row>
    <row r="246" spans="2:34" ht="45" customHeight="1" x14ac:dyDescent="0.2">
      <c r="B246" s="682"/>
      <c r="C246" s="683"/>
      <c r="D246" s="683"/>
      <c r="E246" s="683"/>
      <c r="F246" s="683"/>
      <c r="G246" s="683"/>
      <c r="H246" s="683"/>
      <c r="I246" s="683"/>
      <c r="J246" s="683"/>
      <c r="K246" s="176" t="s">
        <v>315</v>
      </c>
      <c r="L246" s="179" t="s">
        <v>226</v>
      </c>
      <c r="M246" s="179"/>
      <c r="N246" s="135">
        <v>43983</v>
      </c>
      <c r="O246" s="158" t="s">
        <v>296</v>
      </c>
      <c r="P246" s="158"/>
      <c r="Q246" s="125"/>
      <c r="R246" s="391">
        <v>146730769</v>
      </c>
      <c r="S246" s="184"/>
      <c r="T246" s="112"/>
      <c r="U246" s="254" t="s">
        <v>221</v>
      </c>
      <c r="V246" s="302">
        <v>3320</v>
      </c>
      <c r="W246" s="332">
        <v>43844</v>
      </c>
      <c r="X246" s="174">
        <v>152600000</v>
      </c>
      <c r="Y246" s="174">
        <v>152600000</v>
      </c>
      <c r="Z246" s="174">
        <v>152600000</v>
      </c>
      <c r="AA246" s="352">
        <f t="shared" si="19"/>
        <v>-5869231</v>
      </c>
      <c r="AB246" s="352">
        <f t="shared" si="20"/>
        <v>158469231</v>
      </c>
      <c r="AC246" s="352">
        <f t="shared" si="21"/>
        <v>0</v>
      </c>
      <c r="AD246" s="352">
        <f t="shared" si="22"/>
        <v>152600000</v>
      </c>
      <c r="AG246" s="273"/>
      <c r="AH246" s="273"/>
    </row>
    <row r="247" spans="2:34" ht="45" customHeight="1" x14ac:dyDescent="0.2">
      <c r="B247" s="682"/>
      <c r="C247" s="683"/>
      <c r="D247" s="683"/>
      <c r="E247" s="683"/>
      <c r="F247" s="683"/>
      <c r="G247" s="683"/>
      <c r="H247" s="683"/>
      <c r="I247" s="683"/>
      <c r="J247" s="683"/>
      <c r="K247" s="177" t="s">
        <v>315</v>
      </c>
      <c r="L247" s="178" t="s">
        <v>203</v>
      </c>
      <c r="M247" s="134">
        <v>43952</v>
      </c>
      <c r="N247" s="134">
        <v>43983</v>
      </c>
      <c r="O247" s="157" t="s">
        <v>301</v>
      </c>
      <c r="P247" s="157" t="s">
        <v>317</v>
      </c>
      <c r="Q247" s="125"/>
      <c r="R247" s="101">
        <v>125269231</v>
      </c>
      <c r="S247" s="182" t="s">
        <v>322</v>
      </c>
      <c r="T247" s="101">
        <v>300646154.39999998</v>
      </c>
      <c r="U247" s="253" t="s">
        <v>221</v>
      </c>
      <c r="V247" s="302"/>
      <c r="W247" s="332"/>
      <c r="X247" s="174"/>
      <c r="Y247" s="174"/>
      <c r="Z247" s="352"/>
      <c r="AA247" s="352">
        <f t="shared" si="19"/>
        <v>125269231</v>
      </c>
      <c r="AB247" s="352">
        <f t="shared" si="20"/>
        <v>-125269231</v>
      </c>
      <c r="AC247" s="352" t="str">
        <f t="shared" si="21"/>
        <v>0</v>
      </c>
      <c r="AD247" s="352">
        <f t="shared" si="22"/>
        <v>0</v>
      </c>
      <c r="AG247" s="273"/>
      <c r="AH247" s="273"/>
    </row>
    <row r="248" spans="2:34" ht="45" customHeight="1" x14ac:dyDescent="0.2">
      <c r="B248" s="682"/>
      <c r="C248" s="683"/>
      <c r="D248" s="683"/>
      <c r="E248" s="683"/>
      <c r="F248" s="683"/>
      <c r="G248" s="683"/>
      <c r="H248" s="683"/>
      <c r="I248" s="683"/>
      <c r="J248" s="683"/>
      <c r="K248" s="109">
        <v>72154100</v>
      </c>
      <c r="L248" s="110" t="s">
        <v>223</v>
      </c>
      <c r="M248" s="110"/>
      <c r="N248" s="135">
        <v>43983</v>
      </c>
      <c r="O248" s="158" t="s">
        <v>296</v>
      </c>
      <c r="P248" s="158" t="s">
        <v>317</v>
      </c>
      <c r="Q248" s="125"/>
      <c r="R248" s="111">
        <f>162400000+125600000</f>
        <v>288000000</v>
      </c>
      <c r="S248" s="184"/>
      <c r="T248" s="112"/>
      <c r="U248" s="254" t="s">
        <v>221</v>
      </c>
      <c r="V248" s="302" t="s">
        <v>446</v>
      </c>
      <c r="W248" s="332" t="s">
        <v>447</v>
      </c>
      <c r="X248" s="174">
        <f>15500000+146900000</f>
        <v>162400000</v>
      </c>
      <c r="Y248" s="174">
        <f>15500000+272500000</f>
        <v>288000000</v>
      </c>
      <c r="Z248" s="352">
        <f>125600000+15500000</f>
        <v>141100000</v>
      </c>
      <c r="AA248" s="352">
        <f t="shared" si="19"/>
        <v>0</v>
      </c>
      <c r="AB248" s="352">
        <f t="shared" si="20"/>
        <v>141100000</v>
      </c>
      <c r="AC248" s="352">
        <f t="shared" si="21"/>
        <v>146900000</v>
      </c>
      <c r="AD248" s="352">
        <f t="shared" si="22"/>
        <v>141100000</v>
      </c>
      <c r="AG248" s="273"/>
      <c r="AH248" s="273"/>
    </row>
    <row r="249" spans="2:34" ht="45" customHeight="1" x14ac:dyDescent="0.2">
      <c r="B249" s="682"/>
      <c r="C249" s="683"/>
      <c r="D249" s="683"/>
      <c r="E249" s="683"/>
      <c r="F249" s="683"/>
      <c r="G249" s="683"/>
      <c r="H249" s="683"/>
      <c r="I249" s="683"/>
      <c r="J249" s="683"/>
      <c r="K249" s="99">
        <v>72154100</v>
      </c>
      <c r="L249" s="100" t="s">
        <v>201</v>
      </c>
      <c r="M249" s="134">
        <v>43834</v>
      </c>
      <c r="N249" s="134">
        <v>43862</v>
      </c>
      <c r="O249" s="157" t="s">
        <v>301</v>
      </c>
      <c r="P249" s="157" t="s">
        <v>317</v>
      </c>
      <c r="Q249" s="125"/>
      <c r="R249" s="101">
        <f>125600000-125600000</f>
        <v>0</v>
      </c>
      <c r="S249" s="182" t="s">
        <v>322</v>
      </c>
      <c r="T249" s="101">
        <v>301440000</v>
      </c>
      <c r="U249" s="253" t="s">
        <v>221</v>
      </c>
      <c r="V249" s="302"/>
      <c r="W249" s="332"/>
      <c r="X249" s="174"/>
      <c r="Y249" s="174"/>
      <c r="Z249" s="352"/>
      <c r="AA249" s="352">
        <f t="shared" si="19"/>
        <v>0</v>
      </c>
      <c r="AB249" s="352">
        <f t="shared" si="20"/>
        <v>0</v>
      </c>
      <c r="AC249" s="352" t="str">
        <f t="shared" si="21"/>
        <v>0</v>
      </c>
      <c r="AD249" s="352">
        <f t="shared" si="22"/>
        <v>0</v>
      </c>
      <c r="AG249" s="273"/>
      <c r="AH249" s="273"/>
    </row>
    <row r="250" spans="2:34" ht="45" customHeight="1" x14ac:dyDescent="0.2">
      <c r="B250" s="682"/>
      <c r="C250" s="683"/>
      <c r="D250" s="683"/>
      <c r="E250" s="683"/>
      <c r="F250" s="683"/>
      <c r="G250" s="683"/>
      <c r="H250" s="683"/>
      <c r="I250" s="683"/>
      <c r="J250" s="683"/>
      <c r="K250" s="176" t="s">
        <v>316</v>
      </c>
      <c r="L250" s="110" t="s">
        <v>224</v>
      </c>
      <c r="M250" s="110"/>
      <c r="N250" s="135">
        <v>43983</v>
      </c>
      <c r="O250" s="158" t="s">
        <v>296</v>
      </c>
      <c r="P250" s="158"/>
      <c r="Q250" s="125"/>
      <c r="R250" s="111">
        <v>14000000</v>
      </c>
      <c r="S250" s="184"/>
      <c r="T250" s="112"/>
      <c r="U250" s="254" t="s">
        <v>221</v>
      </c>
      <c r="V250" s="302">
        <v>3920</v>
      </c>
      <c r="W250" s="332">
        <v>43844</v>
      </c>
      <c r="X250" s="174">
        <v>14000000</v>
      </c>
      <c r="Y250" s="174">
        <v>14000000</v>
      </c>
      <c r="Z250" s="352">
        <v>14000000</v>
      </c>
      <c r="AA250" s="352">
        <f t="shared" si="19"/>
        <v>0</v>
      </c>
      <c r="AB250" s="352">
        <f t="shared" si="20"/>
        <v>14000000</v>
      </c>
      <c r="AC250" s="352">
        <f t="shared" si="21"/>
        <v>0</v>
      </c>
      <c r="AD250" s="352">
        <f t="shared" si="22"/>
        <v>14000000</v>
      </c>
      <c r="AG250" s="273"/>
      <c r="AH250" s="273"/>
    </row>
    <row r="251" spans="2:34" ht="45" customHeight="1" x14ac:dyDescent="0.2">
      <c r="B251" s="682"/>
      <c r="C251" s="683"/>
      <c r="D251" s="683"/>
      <c r="E251" s="683"/>
      <c r="F251" s="683"/>
      <c r="G251" s="683"/>
      <c r="H251" s="683"/>
      <c r="I251" s="683"/>
      <c r="J251" s="683"/>
      <c r="K251" s="177" t="s">
        <v>316</v>
      </c>
      <c r="L251" s="100" t="s">
        <v>202</v>
      </c>
      <c r="M251" s="134">
        <v>43952</v>
      </c>
      <c r="N251" s="134">
        <v>43983</v>
      </c>
      <c r="O251" s="157" t="s">
        <v>301</v>
      </c>
      <c r="P251" s="157" t="s">
        <v>319</v>
      </c>
      <c r="Q251" s="125"/>
      <c r="R251" s="101">
        <v>17000000</v>
      </c>
      <c r="S251" s="182" t="s">
        <v>322</v>
      </c>
      <c r="T251" s="101">
        <v>40800000</v>
      </c>
      <c r="U251" s="253" t="s">
        <v>221</v>
      </c>
      <c r="V251" s="302">
        <v>27420</v>
      </c>
      <c r="W251" s="332">
        <v>43962</v>
      </c>
      <c r="X251" s="174">
        <v>17000000</v>
      </c>
      <c r="Y251" s="174">
        <v>17000000</v>
      </c>
      <c r="Z251" s="352">
        <v>0</v>
      </c>
      <c r="AA251" s="352">
        <f>+R251-Y251</f>
        <v>0</v>
      </c>
      <c r="AB251" s="352">
        <f>+Z251-AA251</f>
        <v>0</v>
      </c>
      <c r="AC251" s="352" t="str">
        <f>IF(Z251=0,"0",IF(Z251&gt;0,Y251-Z251,))</f>
        <v>0</v>
      </c>
      <c r="AD251" s="352">
        <f>+R251-Y251+AB251</f>
        <v>0</v>
      </c>
      <c r="AG251" s="273"/>
      <c r="AH251" s="273"/>
    </row>
    <row r="252" spans="2:34" ht="45" customHeight="1" x14ac:dyDescent="0.2">
      <c r="B252" s="682"/>
      <c r="C252" s="683"/>
      <c r="D252" s="683"/>
      <c r="E252" s="683"/>
      <c r="F252" s="683"/>
      <c r="G252" s="683"/>
      <c r="H252" s="683"/>
      <c r="I252" s="683"/>
      <c r="J252" s="683"/>
      <c r="K252" s="99"/>
      <c r="L252" s="100" t="s">
        <v>213</v>
      </c>
      <c r="M252" s="100"/>
      <c r="N252" s="134" t="s">
        <v>375</v>
      </c>
      <c r="O252" s="157" t="s">
        <v>375</v>
      </c>
      <c r="P252" s="157" t="s">
        <v>375</v>
      </c>
      <c r="Q252" s="125"/>
      <c r="R252" s="101">
        <v>1000000000</v>
      </c>
      <c r="S252" s="182"/>
      <c r="T252" s="102"/>
      <c r="U252" s="253" t="s">
        <v>221</v>
      </c>
      <c r="V252" s="302"/>
      <c r="W252" s="332"/>
      <c r="X252" s="174"/>
      <c r="Y252" s="174"/>
      <c r="Z252" s="352"/>
      <c r="AA252" s="352">
        <f t="shared" si="19"/>
        <v>1000000000</v>
      </c>
      <c r="AB252" s="352">
        <f t="shared" si="20"/>
        <v>-1000000000</v>
      </c>
      <c r="AC252" s="352" t="str">
        <f t="shared" si="21"/>
        <v>0</v>
      </c>
      <c r="AD252" s="352">
        <f t="shared" si="22"/>
        <v>0</v>
      </c>
      <c r="AG252" s="273"/>
      <c r="AH252" s="273"/>
    </row>
    <row r="253" spans="2:34" ht="15" customHeight="1" x14ac:dyDescent="0.2">
      <c r="B253" s="11" t="s">
        <v>7</v>
      </c>
      <c r="C253" s="4" t="s">
        <v>27</v>
      </c>
      <c r="D253" s="4" t="s">
        <v>8</v>
      </c>
      <c r="E253" s="4" t="s">
        <v>20</v>
      </c>
      <c r="F253" s="4" t="s">
        <v>13</v>
      </c>
      <c r="G253" s="4" t="s">
        <v>12</v>
      </c>
      <c r="H253" s="4" t="s">
        <v>28</v>
      </c>
      <c r="I253" s="4"/>
      <c r="J253" s="197"/>
      <c r="K253" s="11"/>
      <c r="L253" s="6" t="s">
        <v>79</v>
      </c>
      <c r="M253" s="6"/>
      <c r="N253" s="133"/>
      <c r="O253" s="156"/>
      <c r="P253" s="156"/>
      <c r="Q253" s="125">
        <v>50000000</v>
      </c>
      <c r="R253" s="5">
        <f>SUM(R254:R256)</f>
        <v>121060000</v>
      </c>
      <c r="S253" s="181"/>
      <c r="T253" s="9"/>
      <c r="U253" s="245"/>
      <c r="V253" s="301"/>
      <c r="W253" s="331"/>
      <c r="X253" s="5"/>
      <c r="Y253" s="5"/>
      <c r="Z253" s="355"/>
      <c r="AA253" s="355"/>
      <c r="AB253" s="355"/>
      <c r="AC253" s="355"/>
      <c r="AD253" s="355"/>
      <c r="AG253" s="273"/>
      <c r="AH253" s="273"/>
    </row>
    <row r="254" spans="2:34" ht="45" customHeight="1" x14ac:dyDescent="0.2">
      <c r="B254" s="677"/>
      <c r="C254" s="678"/>
      <c r="D254" s="678"/>
      <c r="E254" s="678"/>
      <c r="F254" s="678"/>
      <c r="G254" s="678"/>
      <c r="H254" s="678"/>
      <c r="I254" s="678"/>
      <c r="J254" s="678"/>
      <c r="K254" s="109"/>
      <c r="L254" s="110" t="s">
        <v>227</v>
      </c>
      <c r="M254" s="110"/>
      <c r="N254" s="135"/>
      <c r="O254" s="158" t="s">
        <v>296</v>
      </c>
      <c r="P254" s="158"/>
      <c r="Q254" s="125"/>
      <c r="R254" s="111">
        <v>42000000</v>
      </c>
      <c r="S254" s="184"/>
      <c r="T254" s="112"/>
      <c r="U254" s="254" t="s">
        <v>181</v>
      </c>
      <c r="V254" s="302">
        <v>3620</v>
      </c>
      <c r="W254" s="332">
        <v>43844</v>
      </c>
      <c r="X254" s="174">
        <v>42000000</v>
      </c>
      <c r="Y254" s="174">
        <v>42000000</v>
      </c>
      <c r="Z254" s="352">
        <v>42000000</v>
      </c>
      <c r="AA254" s="352">
        <f>+R254-Y254</f>
        <v>0</v>
      </c>
      <c r="AB254" s="352">
        <f>+Z254-AA254</f>
        <v>42000000</v>
      </c>
      <c r="AC254" s="352">
        <f>IF(Z254=0,"0",IF(Z254&gt;0,Y254-Z254,))</f>
        <v>0</v>
      </c>
      <c r="AD254" s="352">
        <f>+R254-Y254+AB254</f>
        <v>42000000</v>
      </c>
      <c r="AG254" s="273"/>
      <c r="AH254" s="273"/>
    </row>
    <row r="255" spans="2:34" ht="45" customHeight="1" x14ac:dyDescent="0.2">
      <c r="B255" s="682"/>
      <c r="C255" s="683"/>
      <c r="D255" s="683"/>
      <c r="E255" s="683"/>
      <c r="F255" s="683"/>
      <c r="G255" s="683"/>
      <c r="H255" s="683"/>
      <c r="I255" s="683"/>
      <c r="J255" s="683"/>
      <c r="K255" s="99">
        <v>46171600</v>
      </c>
      <c r="L255" s="100" t="s">
        <v>228</v>
      </c>
      <c r="M255" s="134">
        <v>43936</v>
      </c>
      <c r="N255" s="134">
        <v>43966</v>
      </c>
      <c r="O255" s="157" t="s">
        <v>301</v>
      </c>
      <c r="P255" s="157" t="s">
        <v>319</v>
      </c>
      <c r="Q255" s="125"/>
      <c r="R255" s="101">
        <v>30000000</v>
      </c>
      <c r="S255" s="182" t="s">
        <v>322</v>
      </c>
      <c r="T255" s="101">
        <v>74000000</v>
      </c>
      <c r="U255" s="253" t="s">
        <v>181</v>
      </c>
      <c r="V255" s="302"/>
      <c r="W255" s="332"/>
      <c r="X255" s="174"/>
      <c r="Y255" s="174"/>
      <c r="Z255" s="352"/>
      <c r="AA255" s="352"/>
      <c r="AB255" s="352"/>
      <c r="AC255" s="352"/>
      <c r="AD255" s="352"/>
      <c r="AG255" s="273"/>
      <c r="AH255" s="273"/>
    </row>
    <row r="256" spans="2:34" ht="41.25" customHeight="1" x14ac:dyDescent="0.2">
      <c r="B256" s="682"/>
      <c r="C256" s="683"/>
      <c r="D256" s="683"/>
      <c r="E256" s="683"/>
      <c r="F256" s="683"/>
      <c r="G256" s="683"/>
      <c r="H256" s="683"/>
      <c r="I256" s="683"/>
      <c r="J256" s="683"/>
      <c r="K256" s="99">
        <v>72101500</v>
      </c>
      <c r="L256" s="100" t="s">
        <v>216</v>
      </c>
      <c r="M256" s="134">
        <v>43833</v>
      </c>
      <c r="N256" s="134">
        <v>43840</v>
      </c>
      <c r="O256" s="157" t="s">
        <v>324</v>
      </c>
      <c r="P256" s="157" t="s">
        <v>338</v>
      </c>
      <c r="Q256" s="125"/>
      <c r="R256" s="101">
        <v>49060000</v>
      </c>
      <c r="S256" s="182" t="s">
        <v>386</v>
      </c>
      <c r="T256" s="102"/>
      <c r="U256" s="253" t="s">
        <v>221</v>
      </c>
      <c r="V256" s="302">
        <v>620</v>
      </c>
      <c r="W256" s="332">
        <v>43833</v>
      </c>
      <c r="X256" s="174">
        <v>49060000</v>
      </c>
      <c r="Y256" s="174">
        <v>49060000</v>
      </c>
      <c r="Z256" s="352">
        <v>49060000</v>
      </c>
      <c r="AA256" s="352">
        <f>+R256-Y256</f>
        <v>0</v>
      </c>
      <c r="AB256" s="352">
        <f>+Z256-AA256</f>
        <v>49060000</v>
      </c>
      <c r="AC256" s="352">
        <f>IF(Z256=0,"0",IF(Z256&gt;0,Y256-Z256,))</f>
        <v>0</v>
      </c>
      <c r="AD256" s="352">
        <f>+R256-Y256+AB256</f>
        <v>49060000</v>
      </c>
      <c r="AG256" s="273"/>
      <c r="AH256" s="273"/>
    </row>
    <row r="257" spans="2:34" ht="15" customHeight="1" x14ac:dyDescent="0.2">
      <c r="B257" s="11" t="s">
        <v>7</v>
      </c>
      <c r="C257" s="4" t="s">
        <v>27</v>
      </c>
      <c r="D257" s="4" t="s">
        <v>8</v>
      </c>
      <c r="E257" s="4" t="s">
        <v>20</v>
      </c>
      <c r="F257" s="4" t="s">
        <v>13</v>
      </c>
      <c r="G257" s="4" t="s">
        <v>12</v>
      </c>
      <c r="H257" s="4" t="s">
        <v>29</v>
      </c>
      <c r="I257" s="4"/>
      <c r="J257" s="197"/>
      <c r="K257" s="11"/>
      <c r="L257" s="6" t="s">
        <v>80</v>
      </c>
      <c r="M257" s="6"/>
      <c r="N257" s="133"/>
      <c r="O257" s="156"/>
      <c r="P257" s="156"/>
      <c r="Q257" s="125">
        <f>415000000+518000000</f>
        <v>933000000</v>
      </c>
      <c r="R257" s="5">
        <f>SUM(R258:R259)</f>
        <v>897600000</v>
      </c>
      <c r="S257" s="183"/>
      <c r="T257" s="9"/>
      <c r="U257" s="245"/>
      <c r="V257" s="301"/>
      <c r="W257" s="331"/>
      <c r="X257" s="5"/>
      <c r="Y257" s="5"/>
      <c r="Z257" s="355"/>
      <c r="AA257" s="355"/>
      <c r="AB257" s="355"/>
      <c r="AC257" s="355"/>
      <c r="AD257" s="355"/>
      <c r="AG257" s="273"/>
      <c r="AH257" s="273"/>
    </row>
    <row r="258" spans="2:34" ht="30" customHeight="1" x14ac:dyDescent="0.2">
      <c r="B258" s="677"/>
      <c r="C258" s="678"/>
      <c r="D258" s="678"/>
      <c r="E258" s="678"/>
      <c r="F258" s="678"/>
      <c r="G258" s="678"/>
      <c r="H258" s="678"/>
      <c r="I258" s="678"/>
      <c r="J258" s="678"/>
      <c r="K258" s="99">
        <v>72101500</v>
      </c>
      <c r="L258" s="178" t="s">
        <v>214</v>
      </c>
      <c r="M258" s="134">
        <v>43833</v>
      </c>
      <c r="N258" s="134">
        <v>43840</v>
      </c>
      <c r="O258" s="157" t="s">
        <v>324</v>
      </c>
      <c r="P258" s="157" t="s">
        <v>338</v>
      </c>
      <c r="Q258" s="125"/>
      <c r="R258" s="101">
        <v>528000000</v>
      </c>
      <c r="S258" s="182" t="s">
        <v>386</v>
      </c>
      <c r="T258" s="102"/>
      <c r="U258" s="253" t="s">
        <v>221</v>
      </c>
      <c r="V258" s="302">
        <v>520</v>
      </c>
      <c r="W258" s="332">
        <v>43833</v>
      </c>
      <c r="X258" s="174">
        <v>528000000</v>
      </c>
      <c r="Y258" s="174">
        <v>528000000</v>
      </c>
      <c r="Z258" s="352">
        <v>528000000</v>
      </c>
      <c r="AA258" s="352">
        <f>+R258-Y258</f>
        <v>0</v>
      </c>
      <c r="AB258" s="352">
        <f>+Z258-AA258</f>
        <v>528000000</v>
      </c>
      <c r="AC258" s="352">
        <f>IF(Z258=0,"0",IF(Z258&gt;0,Y258-Z258,))</f>
        <v>0</v>
      </c>
      <c r="AD258" s="352">
        <f>+R258-Y258+AB258</f>
        <v>528000000</v>
      </c>
      <c r="AG258" s="273"/>
      <c r="AH258" s="273"/>
    </row>
    <row r="259" spans="2:34" ht="45" customHeight="1" x14ac:dyDescent="0.2">
      <c r="B259" s="682"/>
      <c r="C259" s="683"/>
      <c r="D259" s="683"/>
      <c r="E259" s="683"/>
      <c r="F259" s="683"/>
      <c r="G259" s="683"/>
      <c r="H259" s="683"/>
      <c r="I259" s="683"/>
      <c r="J259" s="683"/>
      <c r="K259" s="99">
        <v>72151300</v>
      </c>
      <c r="L259" s="178" t="s">
        <v>215</v>
      </c>
      <c r="M259" s="134">
        <v>43833</v>
      </c>
      <c r="N259" s="134">
        <v>43840</v>
      </c>
      <c r="O259" s="157" t="s">
        <v>324</v>
      </c>
      <c r="P259" s="157" t="s">
        <v>338</v>
      </c>
      <c r="Q259" s="125"/>
      <c r="R259" s="101">
        <f>369600000</f>
        <v>369600000</v>
      </c>
      <c r="S259" s="182" t="s">
        <v>386</v>
      </c>
      <c r="T259" s="102"/>
      <c r="U259" s="253" t="s">
        <v>221</v>
      </c>
      <c r="V259" s="302">
        <v>420</v>
      </c>
      <c r="W259" s="332">
        <v>43833</v>
      </c>
      <c r="X259" s="174">
        <v>369600000</v>
      </c>
      <c r="Y259" s="174">
        <v>369600000</v>
      </c>
      <c r="Z259" s="352">
        <v>369600000</v>
      </c>
      <c r="AA259" s="352">
        <f>+R259-Y259</f>
        <v>0</v>
      </c>
      <c r="AB259" s="352">
        <f>+Z259-AA259</f>
        <v>369600000</v>
      </c>
      <c r="AC259" s="352">
        <f>IF(Z259=0,"0",IF(Z259&gt;0,Y259-Z259,))</f>
        <v>0</v>
      </c>
      <c r="AD259" s="352">
        <f>+R259-Y259+AB259</f>
        <v>369600000</v>
      </c>
      <c r="AG259" s="273"/>
      <c r="AH259" s="273"/>
    </row>
    <row r="260" spans="2:34" ht="30" customHeight="1" x14ac:dyDescent="0.2">
      <c r="B260" s="13" t="s">
        <v>7</v>
      </c>
      <c r="C260" s="14" t="s">
        <v>27</v>
      </c>
      <c r="D260" s="14" t="s">
        <v>8</v>
      </c>
      <c r="E260" s="14" t="s">
        <v>20</v>
      </c>
      <c r="F260" s="14" t="s">
        <v>15</v>
      </c>
      <c r="G260" s="14"/>
      <c r="H260" s="14"/>
      <c r="I260" s="14"/>
      <c r="J260" s="195"/>
      <c r="K260" s="13"/>
      <c r="L260" s="15" t="s">
        <v>86</v>
      </c>
      <c r="M260" s="15"/>
      <c r="N260" s="131"/>
      <c r="O260" s="154"/>
      <c r="P260" s="154"/>
      <c r="Q260" s="125">
        <f>+Q265</f>
        <v>0</v>
      </c>
      <c r="R260" s="16">
        <f>+R265+R261</f>
        <v>42000000</v>
      </c>
      <c r="S260" s="14"/>
      <c r="T260" s="17"/>
      <c r="U260" s="252"/>
      <c r="V260" s="299"/>
      <c r="W260" s="329"/>
      <c r="X260" s="16"/>
      <c r="Y260" s="16"/>
      <c r="Z260" s="353"/>
      <c r="AA260" s="353"/>
      <c r="AB260" s="353"/>
      <c r="AC260" s="353"/>
      <c r="AD260" s="353"/>
      <c r="AG260" s="273"/>
      <c r="AH260" s="273"/>
    </row>
    <row r="261" spans="2:34" ht="15" customHeight="1" x14ac:dyDescent="0.2">
      <c r="B261" s="31" t="s">
        <v>7</v>
      </c>
      <c r="C261" s="32" t="s">
        <v>27</v>
      </c>
      <c r="D261" s="32" t="s">
        <v>8</v>
      </c>
      <c r="E261" s="32" t="s">
        <v>20</v>
      </c>
      <c r="F261" s="32" t="s">
        <v>15</v>
      </c>
      <c r="G261" s="284" t="s">
        <v>9</v>
      </c>
      <c r="H261" s="32"/>
      <c r="I261" s="32"/>
      <c r="J261" s="32"/>
      <c r="K261" s="31"/>
      <c r="L261" s="33" t="s">
        <v>139</v>
      </c>
      <c r="M261" s="33"/>
      <c r="N261" s="141"/>
      <c r="O261" s="164"/>
      <c r="P261" s="164"/>
      <c r="Q261" s="34"/>
      <c r="R261" s="34">
        <f>+R262</f>
        <v>42000000</v>
      </c>
      <c r="S261" s="32"/>
      <c r="T261" s="35"/>
      <c r="U261" s="261"/>
      <c r="V261" s="307"/>
      <c r="W261" s="337"/>
      <c r="X261" s="34"/>
      <c r="Y261" s="34"/>
      <c r="Z261" s="365"/>
      <c r="AA261" s="365"/>
      <c r="AB261" s="365"/>
      <c r="AC261" s="365"/>
      <c r="AD261" s="365"/>
      <c r="AG261" s="273"/>
      <c r="AH261" s="273"/>
    </row>
    <row r="262" spans="2:34" s="285" customFormat="1" ht="30" customHeight="1" x14ac:dyDescent="0.2">
      <c r="B262" s="286" t="s">
        <v>7</v>
      </c>
      <c r="C262" s="233" t="s">
        <v>27</v>
      </c>
      <c r="D262" s="233" t="s">
        <v>8</v>
      </c>
      <c r="E262" s="233" t="s">
        <v>20</v>
      </c>
      <c r="F262" s="233" t="s">
        <v>15</v>
      </c>
      <c r="G262" s="233" t="s">
        <v>9</v>
      </c>
      <c r="H262" s="233" t="s">
        <v>23</v>
      </c>
      <c r="I262" s="233"/>
      <c r="J262" s="287"/>
      <c r="K262" s="11"/>
      <c r="L262" s="6" t="s">
        <v>87</v>
      </c>
      <c r="M262" s="6"/>
      <c r="N262" s="133"/>
      <c r="O262" s="156"/>
      <c r="P262" s="156"/>
      <c r="Q262" s="5"/>
      <c r="R262" s="5">
        <f>+R263</f>
        <v>42000000</v>
      </c>
      <c r="S262" s="4"/>
      <c r="T262" s="288"/>
      <c r="U262" s="289"/>
      <c r="V262" s="301"/>
      <c r="W262" s="331"/>
      <c r="X262" s="5"/>
      <c r="Y262" s="5"/>
      <c r="Z262" s="355"/>
      <c r="AA262" s="355"/>
      <c r="AB262" s="355"/>
      <c r="AC262" s="355"/>
      <c r="AD262" s="355"/>
      <c r="AG262" s="290"/>
      <c r="AH262" s="290"/>
    </row>
    <row r="263" spans="2:34" s="285" customFormat="1" ht="15" customHeight="1" x14ac:dyDescent="0.2">
      <c r="B263" s="286" t="s">
        <v>7</v>
      </c>
      <c r="C263" s="233" t="s">
        <v>27</v>
      </c>
      <c r="D263" s="233" t="s">
        <v>8</v>
      </c>
      <c r="E263" s="233" t="s">
        <v>20</v>
      </c>
      <c r="F263" s="233" t="s">
        <v>15</v>
      </c>
      <c r="G263" s="233" t="s">
        <v>9</v>
      </c>
      <c r="H263" s="233" t="s">
        <v>23</v>
      </c>
      <c r="I263" s="233" t="s">
        <v>32</v>
      </c>
      <c r="J263" s="287"/>
      <c r="K263" s="11"/>
      <c r="L263" s="6" t="s">
        <v>413</v>
      </c>
      <c r="M263" s="6"/>
      <c r="N263" s="133"/>
      <c r="O263" s="156"/>
      <c r="P263" s="156"/>
      <c r="Q263" s="5"/>
      <c r="R263" s="5">
        <f>+R264</f>
        <v>42000000</v>
      </c>
      <c r="S263" s="4"/>
      <c r="T263" s="288"/>
      <c r="U263" s="289"/>
      <c r="V263" s="301"/>
      <c r="W263" s="331"/>
      <c r="X263" s="5"/>
      <c r="Y263" s="5"/>
      <c r="Z263" s="355"/>
      <c r="AA263" s="355"/>
      <c r="AB263" s="355"/>
      <c r="AC263" s="355"/>
      <c r="AD263" s="355"/>
      <c r="AG263" s="290"/>
      <c r="AH263" s="290"/>
    </row>
    <row r="264" spans="2:34" s="285" customFormat="1" ht="30" customHeight="1" x14ac:dyDescent="0.2">
      <c r="B264" s="291"/>
      <c r="C264" s="292"/>
      <c r="D264" s="292"/>
      <c r="E264" s="292"/>
      <c r="F264" s="292"/>
      <c r="G264" s="292"/>
      <c r="H264" s="292"/>
      <c r="I264" s="292"/>
      <c r="J264" s="293"/>
      <c r="K264" s="99"/>
      <c r="L264" s="100" t="s">
        <v>414</v>
      </c>
      <c r="M264" s="100"/>
      <c r="N264" s="134"/>
      <c r="O264" s="157"/>
      <c r="P264" s="157"/>
      <c r="Q264" s="101"/>
      <c r="R264" s="101">
        <v>42000000</v>
      </c>
      <c r="S264" s="182"/>
      <c r="T264" s="102"/>
      <c r="U264" s="253"/>
      <c r="V264" s="301">
        <v>12520</v>
      </c>
      <c r="W264" s="331">
        <v>43871</v>
      </c>
      <c r="X264" s="5">
        <v>42000000</v>
      </c>
      <c r="Y264" s="5">
        <v>42000000</v>
      </c>
      <c r="Z264" s="355">
        <v>13363959</v>
      </c>
      <c r="AA264" s="358">
        <f>+R264-Y264</f>
        <v>0</v>
      </c>
      <c r="AB264" s="358">
        <f>+Z264-AA264</f>
        <v>13363959</v>
      </c>
      <c r="AC264" s="358">
        <f>IF(Z264=0,"0",IF(Z264&gt;0,Y264-Z264,))</f>
        <v>28636041</v>
      </c>
      <c r="AD264" s="358">
        <f>+R264-Y264+AB264</f>
        <v>13363959</v>
      </c>
      <c r="AG264" s="290"/>
      <c r="AH264" s="290"/>
    </row>
    <row r="265" spans="2:34" ht="15" customHeight="1" x14ac:dyDescent="0.2">
      <c r="B265" s="31" t="s">
        <v>7</v>
      </c>
      <c r="C265" s="32" t="s">
        <v>27</v>
      </c>
      <c r="D265" s="32" t="s">
        <v>8</v>
      </c>
      <c r="E265" s="32" t="s">
        <v>20</v>
      </c>
      <c r="F265" s="32" t="s">
        <v>15</v>
      </c>
      <c r="G265" s="32" t="s">
        <v>10</v>
      </c>
      <c r="H265" s="32"/>
      <c r="I265" s="32"/>
      <c r="J265" s="202"/>
      <c r="K265" s="31"/>
      <c r="L265" s="33" t="s">
        <v>388</v>
      </c>
      <c r="M265" s="33"/>
      <c r="N265" s="141"/>
      <c r="O265" s="164"/>
      <c r="P265" s="164"/>
      <c r="Q265" s="125">
        <f>+Q266</f>
        <v>0</v>
      </c>
      <c r="R265" s="34">
        <f>+R266</f>
        <v>0</v>
      </c>
      <c r="S265" s="32"/>
      <c r="T265" s="35"/>
      <c r="U265" s="261"/>
      <c r="V265" s="307"/>
      <c r="W265" s="337"/>
      <c r="X265" s="34"/>
      <c r="Y265" s="34"/>
      <c r="Z265" s="365"/>
      <c r="AA265" s="365"/>
      <c r="AB265" s="365"/>
      <c r="AC265" s="365"/>
      <c r="AD265" s="365"/>
      <c r="AG265" s="273"/>
      <c r="AH265" s="273"/>
    </row>
    <row r="266" spans="2:34" ht="15" customHeight="1" x14ac:dyDescent="0.2">
      <c r="B266" s="11" t="s">
        <v>7</v>
      </c>
      <c r="C266" s="4" t="s">
        <v>27</v>
      </c>
      <c r="D266" s="4" t="s">
        <v>8</v>
      </c>
      <c r="E266" s="4" t="s">
        <v>20</v>
      </c>
      <c r="F266" s="4" t="s">
        <v>15</v>
      </c>
      <c r="G266" s="4" t="s">
        <v>10</v>
      </c>
      <c r="H266" s="4" t="s">
        <v>20</v>
      </c>
      <c r="I266" s="4"/>
      <c r="J266" s="197"/>
      <c r="K266" s="11"/>
      <c r="L266" s="6" t="s">
        <v>389</v>
      </c>
      <c r="M266" s="6"/>
      <c r="N266" s="133"/>
      <c r="O266" s="156"/>
      <c r="P266" s="156"/>
      <c r="Q266" s="125">
        <f>SUM(Q267:Q267)</f>
        <v>0</v>
      </c>
      <c r="R266" s="5">
        <f>SUM(R267:R267)</f>
        <v>0</v>
      </c>
      <c r="S266" s="181"/>
      <c r="T266" s="9"/>
      <c r="U266" s="245"/>
      <c r="V266" s="301"/>
      <c r="W266" s="331"/>
      <c r="X266" s="5"/>
      <c r="Y266" s="5"/>
      <c r="Z266" s="355"/>
      <c r="AA266" s="355"/>
      <c r="AB266" s="355"/>
      <c r="AC266" s="355"/>
      <c r="AD266" s="355"/>
      <c r="AG266" s="273"/>
      <c r="AH266" s="273"/>
    </row>
    <row r="267" spans="2:34" ht="30" customHeight="1" x14ac:dyDescent="0.2">
      <c r="B267" s="11" t="s">
        <v>7</v>
      </c>
      <c r="C267" s="4" t="s">
        <v>27</v>
      </c>
      <c r="D267" s="4" t="s">
        <v>8</v>
      </c>
      <c r="E267" s="4" t="s">
        <v>20</v>
      </c>
      <c r="F267" s="4" t="s">
        <v>15</v>
      </c>
      <c r="G267" s="4" t="s">
        <v>10</v>
      </c>
      <c r="H267" s="4" t="s">
        <v>20</v>
      </c>
      <c r="I267" s="4" t="s">
        <v>21</v>
      </c>
      <c r="J267" s="197"/>
      <c r="K267" s="11"/>
      <c r="L267" s="189" t="s">
        <v>390</v>
      </c>
      <c r="M267" s="189"/>
      <c r="N267" s="133"/>
      <c r="O267" s="156"/>
      <c r="P267" s="156"/>
      <c r="Q267" s="125">
        <v>0</v>
      </c>
      <c r="R267" s="5">
        <f>+R268</f>
        <v>0</v>
      </c>
      <c r="S267" s="181"/>
      <c r="T267" s="9"/>
      <c r="U267" s="245"/>
      <c r="V267" s="301"/>
      <c r="W267" s="331"/>
      <c r="X267" s="5"/>
      <c r="Y267" s="5"/>
      <c r="Z267" s="355"/>
      <c r="AA267" s="355"/>
      <c r="AB267" s="355"/>
      <c r="AC267" s="355"/>
      <c r="AD267" s="355"/>
      <c r="AG267" s="273"/>
      <c r="AH267" s="273"/>
    </row>
    <row r="268" spans="2:34" ht="15" customHeight="1" x14ac:dyDescent="0.2">
      <c r="B268" s="677"/>
      <c r="C268" s="678"/>
      <c r="D268" s="678"/>
      <c r="E268" s="678"/>
      <c r="F268" s="678"/>
      <c r="G268" s="678"/>
      <c r="H268" s="678"/>
      <c r="I268" s="678"/>
      <c r="J268" s="678"/>
      <c r="K268" s="236"/>
      <c r="L268" s="237"/>
      <c r="M268" s="237"/>
      <c r="N268" s="238"/>
      <c r="O268" s="239"/>
      <c r="P268" s="239"/>
      <c r="Q268" s="125"/>
      <c r="R268" s="240"/>
      <c r="S268" s="236"/>
      <c r="T268" s="240"/>
      <c r="U268" s="241"/>
      <c r="V268" s="308"/>
      <c r="W268" s="338"/>
      <c r="X268" s="272"/>
      <c r="Y268" s="272"/>
      <c r="Z268" s="366"/>
      <c r="AA268" s="366"/>
      <c r="AB268" s="366"/>
      <c r="AC268" s="366"/>
      <c r="AD268" s="366"/>
      <c r="AG268" s="273"/>
      <c r="AH268" s="273"/>
    </row>
    <row r="269" spans="2:34" ht="15" customHeight="1" x14ac:dyDescent="0.2">
      <c r="B269" s="13" t="s">
        <v>7</v>
      </c>
      <c r="C269" s="14" t="s">
        <v>27</v>
      </c>
      <c r="D269" s="14" t="s">
        <v>8</v>
      </c>
      <c r="E269" s="14" t="s">
        <v>20</v>
      </c>
      <c r="F269" s="14" t="s">
        <v>16</v>
      </c>
      <c r="G269" s="14"/>
      <c r="H269" s="14"/>
      <c r="I269" s="14"/>
      <c r="J269" s="195"/>
      <c r="K269" s="13"/>
      <c r="L269" s="15" t="s">
        <v>91</v>
      </c>
      <c r="M269" s="15"/>
      <c r="N269" s="131"/>
      <c r="O269" s="154"/>
      <c r="P269" s="154"/>
      <c r="Q269" s="125">
        <f>+Q270+Q275+Q278</f>
        <v>1408000000</v>
      </c>
      <c r="R269" s="16">
        <f>+R270+R275+R278</f>
        <v>1366000000</v>
      </c>
      <c r="S269" s="218">
        <f>+Q269-R269</f>
        <v>42000000</v>
      </c>
      <c r="T269" s="17"/>
      <c r="U269" s="252"/>
      <c r="V269" s="299"/>
      <c r="W269" s="329"/>
      <c r="X269" s="16"/>
      <c r="Y269" s="16"/>
      <c r="Z269" s="353"/>
      <c r="AA269" s="353"/>
      <c r="AB269" s="353"/>
      <c r="AC269" s="353"/>
      <c r="AD269" s="353"/>
      <c r="AG269" s="273"/>
      <c r="AH269" s="273"/>
    </row>
    <row r="270" spans="2:34" ht="15" customHeight="1" x14ac:dyDescent="0.2">
      <c r="B270" s="31" t="s">
        <v>7</v>
      </c>
      <c r="C270" s="32" t="s">
        <v>27</v>
      </c>
      <c r="D270" s="32" t="s">
        <v>8</v>
      </c>
      <c r="E270" s="32" t="s">
        <v>20</v>
      </c>
      <c r="F270" s="32" t="s">
        <v>16</v>
      </c>
      <c r="G270" s="32" t="s">
        <v>11</v>
      </c>
      <c r="H270" s="32"/>
      <c r="I270" s="32"/>
      <c r="J270" s="202"/>
      <c r="K270" s="31"/>
      <c r="L270" s="33" t="s">
        <v>95</v>
      </c>
      <c r="M270" s="33"/>
      <c r="N270" s="141"/>
      <c r="O270" s="164"/>
      <c r="P270" s="164"/>
      <c r="Q270" s="125">
        <f>+Q271</f>
        <v>28000000</v>
      </c>
      <c r="R270" s="34">
        <f>+R271</f>
        <v>132300000</v>
      </c>
      <c r="S270" s="32"/>
      <c r="T270" s="35"/>
      <c r="U270" s="261"/>
      <c r="V270" s="307"/>
      <c r="W270" s="337"/>
      <c r="X270" s="34"/>
      <c r="Y270" s="34"/>
      <c r="Z270" s="365"/>
      <c r="AA270" s="365"/>
      <c r="AB270" s="365"/>
      <c r="AC270" s="365"/>
      <c r="AD270" s="365"/>
      <c r="AG270" s="273"/>
      <c r="AH270" s="273"/>
    </row>
    <row r="271" spans="2:34" ht="30" customHeight="1" x14ac:dyDescent="0.2">
      <c r="B271" s="11" t="s">
        <v>7</v>
      </c>
      <c r="C271" s="4" t="s">
        <v>27</v>
      </c>
      <c r="D271" s="4" t="s">
        <v>8</v>
      </c>
      <c r="E271" s="4" t="s">
        <v>20</v>
      </c>
      <c r="F271" s="4" t="s">
        <v>16</v>
      </c>
      <c r="G271" s="4" t="s">
        <v>11</v>
      </c>
      <c r="H271" s="4" t="s">
        <v>8</v>
      </c>
      <c r="I271" s="4"/>
      <c r="J271" s="197"/>
      <c r="K271" s="11"/>
      <c r="L271" s="6" t="s">
        <v>122</v>
      </c>
      <c r="M271" s="6"/>
      <c r="N271" s="133"/>
      <c r="O271" s="156"/>
      <c r="P271" s="156"/>
      <c r="Q271" s="125">
        <f>SUM(Q272:Q272)</f>
        <v>28000000</v>
      </c>
      <c r="R271" s="5">
        <f>SUM(R272:R272)</f>
        <v>132300000</v>
      </c>
      <c r="S271" s="181"/>
      <c r="T271" s="9"/>
      <c r="U271" s="245"/>
      <c r="V271" s="301"/>
      <c r="W271" s="331"/>
      <c r="X271" s="5"/>
      <c r="Y271" s="5"/>
      <c r="Z271" s="355"/>
      <c r="AA271" s="355"/>
      <c r="AB271" s="355"/>
      <c r="AC271" s="355"/>
      <c r="AD271" s="355"/>
      <c r="AG271" s="273"/>
      <c r="AH271" s="273"/>
    </row>
    <row r="272" spans="2:34" ht="15.6" customHeight="1" x14ac:dyDescent="0.2">
      <c r="B272" s="11" t="s">
        <v>7</v>
      </c>
      <c r="C272" s="4" t="s">
        <v>27</v>
      </c>
      <c r="D272" s="4" t="s">
        <v>8</v>
      </c>
      <c r="E272" s="4" t="s">
        <v>20</v>
      </c>
      <c r="F272" s="4" t="s">
        <v>16</v>
      </c>
      <c r="G272" s="4" t="s">
        <v>11</v>
      </c>
      <c r="H272" s="4" t="s">
        <v>8</v>
      </c>
      <c r="I272" s="4" t="s">
        <v>21</v>
      </c>
      <c r="J272" s="197"/>
      <c r="K272" s="11"/>
      <c r="L272" s="6" t="s">
        <v>96</v>
      </c>
      <c r="M272" s="6"/>
      <c r="N272" s="133"/>
      <c r="O272" s="156"/>
      <c r="P272" s="156"/>
      <c r="Q272" s="125">
        <v>28000000</v>
      </c>
      <c r="R272" s="5">
        <f>SUM(R273:R274)</f>
        <v>132300000</v>
      </c>
      <c r="S272" s="181"/>
      <c r="T272" s="9"/>
      <c r="U272" s="245"/>
      <c r="V272" s="301"/>
      <c r="W272" s="331"/>
      <c r="X272" s="5"/>
      <c r="Y272" s="5"/>
      <c r="Z272" s="355"/>
      <c r="AA272" s="355"/>
      <c r="AB272" s="355"/>
      <c r="AC272" s="355"/>
      <c r="AD272" s="355"/>
      <c r="AG272" s="273"/>
      <c r="AH272" s="273"/>
    </row>
    <row r="273" spans="2:34" ht="45" customHeight="1" x14ac:dyDescent="0.2">
      <c r="B273" s="677"/>
      <c r="C273" s="678"/>
      <c r="D273" s="678"/>
      <c r="E273" s="678"/>
      <c r="F273" s="678"/>
      <c r="G273" s="678"/>
      <c r="H273" s="678"/>
      <c r="I273" s="678"/>
      <c r="J273" s="678"/>
      <c r="K273" s="99">
        <v>80101500</v>
      </c>
      <c r="L273" s="100" t="s">
        <v>205</v>
      </c>
      <c r="M273" s="134">
        <v>43833</v>
      </c>
      <c r="N273" s="134">
        <v>43840</v>
      </c>
      <c r="O273" s="157" t="s">
        <v>324</v>
      </c>
      <c r="P273" s="157" t="s">
        <v>338</v>
      </c>
      <c r="Q273" s="125"/>
      <c r="R273" s="101">
        <v>40150000</v>
      </c>
      <c r="S273" s="182" t="s">
        <v>386</v>
      </c>
      <c r="T273" s="102"/>
      <c r="U273" s="253" t="s">
        <v>221</v>
      </c>
      <c r="V273" s="302">
        <v>320</v>
      </c>
      <c r="W273" s="332">
        <v>43833</v>
      </c>
      <c r="X273" s="174">
        <v>40150000</v>
      </c>
      <c r="Y273" s="174">
        <v>40150000</v>
      </c>
      <c r="Z273" s="352">
        <v>40150000</v>
      </c>
      <c r="AA273" s="352">
        <f>+R273-Y273</f>
        <v>0</v>
      </c>
      <c r="AB273" s="352">
        <f>+Z273-AA273</f>
        <v>40150000</v>
      </c>
      <c r="AC273" s="352">
        <f>IF(Z273=0,"0",IF(Z273&gt;0,Y273-Z273,))</f>
        <v>0</v>
      </c>
      <c r="AD273" s="352">
        <f>+R273-Y273+AB273</f>
        <v>40150000</v>
      </c>
      <c r="AG273" s="273"/>
      <c r="AH273" s="273"/>
    </row>
    <row r="274" spans="2:34" ht="60" customHeight="1" x14ac:dyDescent="0.2">
      <c r="B274" s="231"/>
      <c r="C274" s="232"/>
      <c r="D274" s="232"/>
      <c r="E274" s="232"/>
      <c r="F274" s="232"/>
      <c r="G274" s="232"/>
      <c r="H274" s="232"/>
      <c r="I274" s="232"/>
      <c r="J274" s="232"/>
      <c r="K274" s="99">
        <v>83112400</v>
      </c>
      <c r="L274" s="100" t="s">
        <v>391</v>
      </c>
      <c r="M274" s="157" t="s">
        <v>375</v>
      </c>
      <c r="N274" s="134">
        <v>43832</v>
      </c>
      <c r="O274" s="157" t="s">
        <v>301</v>
      </c>
      <c r="P274" s="157" t="s">
        <v>375</v>
      </c>
      <c r="Q274" s="125"/>
      <c r="R274" s="101">
        <v>92150000</v>
      </c>
      <c r="S274" s="182" t="s">
        <v>386</v>
      </c>
      <c r="T274" s="102"/>
      <c r="U274" s="253" t="s">
        <v>272</v>
      </c>
      <c r="V274" s="302" t="s">
        <v>448</v>
      </c>
      <c r="W274" s="332" t="s">
        <v>449</v>
      </c>
      <c r="X274" s="174">
        <f>4860000+5600000+2592000+12960000+4736000+4860000</f>
        <v>35608000</v>
      </c>
      <c r="Y274" s="174">
        <v>35608000</v>
      </c>
      <c r="Z274" s="352">
        <v>35608000</v>
      </c>
      <c r="AA274" s="352">
        <f>+R274-Y274</f>
        <v>56542000</v>
      </c>
      <c r="AB274" s="352">
        <f>+Z274-AA274</f>
        <v>-20934000</v>
      </c>
      <c r="AC274" s="352">
        <f>IF(Z274=0,"0",IF(Z274&gt;0,Y274-Z274,))</f>
        <v>0</v>
      </c>
      <c r="AD274" s="352">
        <f>+R274-Y274+AB274</f>
        <v>35608000</v>
      </c>
      <c r="AG274" s="273"/>
      <c r="AH274" s="273"/>
    </row>
    <row r="275" spans="2:34" ht="15" customHeight="1" x14ac:dyDescent="0.2">
      <c r="B275" s="31" t="s">
        <v>7</v>
      </c>
      <c r="C275" s="32" t="s">
        <v>27</v>
      </c>
      <c r="D275" s="32" t="s">
        <v>8</v>
      </c>
      <c r="E275" s="32" t="s">
        <v>20</v>
      </c>
      <c r="F275" s="32" t="s">
        <v>16</v>
      </c>
      <c r="G275" s="32" t="s">
        <v>13</v>
      </c>
      <c r="H275" s="32"/>
      <c r="I275" s="32"/>
      <c r="J275" s="202"/>
      <c r="K275" s="31"/>
      <c r="L275" s="33" t="s">
        <v>104</v>
      </c>
      <c r="M275" s="33"/>
      <c r="N275" s="141"/>
      <c r="O275" s="164"/>
      <c r="P275" s="164"/>
      <c r="Q275" s="125">
        <f>+Q276</f>
        <v>1020000000</v>
      </c>
      <c r="R275" s="34">
        <f>+R276</f>
        <v>1020000000</v>
      </c>
      <c r="S275" s="235"/>
      <c r="T275" s="35"/>
      <c r="U275" s="261"/>
      <c r="V275" s="307"/>
      <c r="W275" s="337"/>
      <c r="X275" s="34"/>
      <c r="Y275" s="34"/>
      <c r="Z275" s="365"/>
      <c r="AA275" s="365"/>
      <c r="AB275" s="365"/>
      <c r="AC275" s="365"/>
      <c r="AD275" s="365"/>
      <c r="AG275" s="273"/>
      <c r="AH275" s="273"/>
    </row>
    <row r="276" spans="2:34" ht="15" customHeight="1" x14ac:dyDescent="0.2">
      <c r="B276" s="11" t="s">
        <v>7</v>
      </c>
      <c r="C276" s="4" t="s">
        <v>27</v>
      </c>
      <c r="D276" s="4" t="s">
        <v>8</v>
      </c>
      <c r="E276" s="4" t="s">
        <v>20</v>
      </c>
      <c r="F276" s="4" t="s">
        <v>16</v>
      </c>
      <c r="G276" s="4" t="s">
        <v>13</v>
      </c>
      <c r="H276" s="4" t="s">
        <v>23</v>
      </c>
      <c r="I276" s="4"/>
      <c r="J276" s="197"/>
      <c r="K276" s="11"/>
      <c r="L276" s="6" t="s">
        <v>105</v>
      </c>
      <c r="M276" s="6"/>
      <c r="N276" s="133"/>
      <c r="O276" s="156"/>
      <c r="P276" s="156"/>
      <c r="Q276" s="125">
        <f>90000000+930000000</f>
        <v>1020000000</v>
      </c>
      <c r="R276" s="5">
        <f>SUM(R277)</f>
        <v>1020000000</v>
      </c>
      <c r="S276" s="183"/>
      <c r="T276" s="9"/>
      <c r="U276" s="245"/>
      <c r="V276" s="301"/>
      <c r="W276" s="331"/>
      <c r="X276" s="5"/>
      <c r="Y276" s="5"/>
      <c r="Z276" s="355"/>
      <c r="AA276" s="355"/>
      <c r="AB276" s="355"/>
      <c r="AC276" s="355"/>
      <c r="AD276" s="355"/>
      <c r="AG276" s="273"/>
      <c r="AH276" s="273"/>
    </row>
    <row r="277" spans="2:34" ht="30" customHeight="1" x14ac:dyDescent="0.2">
      <c r="B277" s="677"/>
      <c r="C277" s="678"/>
      <c r="D277" s="678"/>
      <c r="E277" s="678"/>
      <c r="F277" s="678"/>
      <c r="G277" s="678"/>
      <c r="H277" s="678"/>
      <c r="I277" s="678"/>
      <c r="J277" s="678"/>
      <c r="K277" s="99">
        <v>76111500</v>
      </c>
      <c r="L277" s="100" t="s">
        <v>207</v>
      </c>
      <c r="M277" s="134">
        <v>43814</v>
      </c>
      <c r="N277" s="134">
        <v>43833</v>
      </c>
      <c r="O277" s="157" t="s">
        <v>301</v>
      </c>
      <c r="P277" s="157" t="s">
        <v>340</v>
      </c>
      <c r="Q277" s="125"/>
      <c r="R277" s="101">
        <v>1020000000</v>
      </c>
      <c r="S277" s="182" t="s">
        <v>386</v>
      </c>
      <c r="T277" s="102"/>
      <c r="U277" s="253" t="s">
        <v>221</v>
      </c>
      <c r="V277" s="302">
        <v>920</v>
      </c>
      <c r="W277" s="332">
        <v>43833</v>
      </c>
      <c r="X277" s="174">
        <v>1020000000</v>
      </c>
      <c r="Y277" s="174">
        <v>1020000000</v>
      </c>
      <c r="Z277" s="352">
        <v>845196056.07000005</v>
      </c>
      <c r="AA277" s="352">
        <f>+R277-Y277</f>
        <v>0</v>
      </c>
      <c r="AB277" s="352">
        <f>+Z277-AA277</f>
        <v>845196056.07000005</v>
      </c>
      <c r="AC277" s="352">
        <f>IF(Z277=0,"0",IF(Z277&gt;0,Y277-Z277,))</f>
        <v>174803943.92999995</v>
      </c>
      <c r="AD277" s="352">
        <f>+R277-Y277+AB277</f>
        <v>845196056.07000005</v>
      </c>
      <c r="AG277" s="273"/>
      <c r="AH277" s="273"/>
    </row>
    <row r="278" spans="2:34" ht="30" customHeight="1" x14ac:dyDescent="0.2">
      <c r="B278" s="31" t="s">
        <v>7</v>
      </c>
      <c r="C278" s="32" t="s">
        <v>27</v>
      </c>
      <c r="D278" s="32" t="s">
        <v>8</v>
      </c>
      <c r="E278" s="32" t="s">
        <v>20</v>
      </c>
      <c r="F278" s="32" t="s">
        <v>16</v>
      </c>
      <c r="G278" s="32" t="s">
        <v>15</v>
      </c>
      <c r="H278" s="32"/>
      <c r="I278" s="32"/>
      <c r="J278" s="202"/>
      <c r="K278" s="31"/>
      <c r="L278" s="33" t="s">
        <v>106</v>
      </c>
      <c r="M278" s="33"/>
      <c r="N278" s="141"/>
      <c r="O278" s="164"/>
      <c r="P278" s="164"/>
      <c r="Q278" s="125">
        <f>+Q279+Q285</f>
        <v>360000000</v>
      </c>
      <c r="R278" s="34">
        <f>+R279+R285</f>
        <v>213700000</v>
      </c>
      <c r="S278" s="32"/>
      <c r="T278" s="35"/>
      <c r="U278" s="261"/>
      <c r="V278" s="307"/>
      <c r="W278" s="337"/>
      <c r="X278" s="34"/>
      <c r="Y278" s="34"/>
      <c r="Z278" s="365"/>
      <c r="AA278" s="365"/>
      <c r="AB278" s="365"/>
      <c r="AC278" s="365"/>
      <c r="AD278" s="365"/>
      <c r="AG278" s="273"/>
      <c r="AH278" s="273"/>
    </row>
    <row r="279" spans="2:34" ht="30" customHeight="1" x14ac:dyDescent="0.2">
      <c r="B279" s="11" t="s">
        <v>7</v>
      </c>
      <c r="C279" s="4" t="s">
        <v>27</v>
      </c>
      <c r="D279" s="4" t="s">
        <v>8</v>
      </c>
      <c r="E279" s="4" t="s">
        <v>20</v>
      </c>
      <c r="F279" s="4" t="s">
        <v>16</v>
      </c>
      <c r="G279" s="4" t="s">
        <v>15</v>
      </c>
      <c r="H279" s="4" t="s">
        <v>8</v>
      </c>
      <c r="I279" s="4"/>
      <c r="J279" s="197"/>
      <c r="K279" s="11"/>
      <c r="L279" s="6" t="s">
        <v>107</v>
      </c>
      <c r="M279" s="6"/>
      <c r="N279" s="133"/>
      <c r="O279" s="156"/>
      <c r="P279" s="156"/>
      <c r="Q279" s="125">
        <f>SUM(Q280:Q280)</f>
        <v>337000000</v>
      </c>
      <c r="R279" s="5">
        <f>SUM(R280:R280)</f>
        <v>213700000</v>
      </c>
      <c r="S279" s="181"/>
      <c r="T279" s="9"/>
      <c r="U279" s="245"/>
      <c r="V279" s="301"/>
      <c r="W279" s="331"/>
      <c r="X279" s="5"/>
      <c r="Y279" s="5"/>
      <c r="Z279" s="355"/>
      <c r="AA279" s="355"/>
      <c r="AB279" s="355"/>
      <c r="AC279" s="355"/>
      <c r="AD279" s="355"/>
      <c r="AG279" s="273"/>
      <c r="AH279" s="273"/>
    </row>
    <row r="280" spans="2:34" ht="30" customHeight="1" x14ac:dyDescent="0.2">
      <c r="B280" s="11" t="s">
        <v>7</v>
      </c>
      <c r="C280" s="4" t="s">
        <v>27</v>
      </c>
      <c r="D280" s="4" t="s">
        <v>8</v>
      </c>
      <c r="E280" s="4" t="s">
        <v>20</v>
      </c>
      <c r="F280" s="4" t="s">
        <v>16</v>
      </c>
      <c r="G280" s="4" t="s">
        <v>15</v>
      </c>
      <c r="H280" s="4" t="s">
        <v>8</v>
      </c>
      <c r="I280" s="4" t="s">
        <v>34</v>
      </c>
      <c r="J280" s="197"/>
      <c r="K280" s="11"/>
      <c r="L280" s="189" t="s">
        <v>108</v>
      </c>
      <c r="M280" s="189"/>
      <c r="N280" s="133"/>
      <c r="O280" s="156"/>
      <c r="P280" s="156"/>
      <c r="Q280" s="125">
        <f>288000000+31000000+18000000</f>
        <v>337000000</v>
      </c>
      <c r="R280" s="5">
        <f>SUM(R281:R284)</f>
        <v>213700000</v>
      </c>
      <c r="S280" s="183"/>
      <c r="T280" s="9"/>
      <c r="U280" s="245"/>
      <c r="V280" s="301"/>
      <c r="W280" s="331"/>
      <c r="X280" s="5"/>
      <c r="Y280" s="5"/>
      <c r="Z280" s="355"/>
      <c r="AA280" s="355"/>
      <c r="AB280" s="355"/>
      <c r="AC280" s="355"/>
      <c r="AD280" s="355"/>
      <c r="AG280" s="273"/>
      <c r="AH280" s="273"/>
    </row>
    <row r="281" spans="2:34" ht="30" customHeight="1" x14ac:dyDescent="0.2">
      <c r="B281" s="682"/>
      <c r="C281" s="683"/>
      <c r="D281" s="683"/>
      <c r="E281" s="683"/>
      <c r="F281" s="683"/>
      <c r="G281" s="683"/>
      <c r="H281" s="683"/>
      <c r="I281" s="683"/>
      <c r="J281" s="683"/>
      <c r="K281" s="99">
        <v>73152100</v>
      </c>
      <c r="L281" s="100" t="s">
        <v>204</v>
      </c>
      <c r="M281" s="134">
        <v>44013</v>
      </c>
      <c r="N281" s="134">
        <v>44044</v>
      </c>
      <c r="O281" s="157" t="s">
        <v>332</v>
      </c>
      <c r="P281" s="157" t="s">
        <v>318</v>
      </c>
      <c r="Q281" s="125"/>
      <c r="R281" s="101">
        <v>22000000</v>
      </c>
      <c r="S281" s="182" t="s">
        <v>386</v>
      </c>
      <c r="T281" s="102"/>
      <c r="U281" s="253" t="s">
        <v>221</v>
      </c>
      <c r="V281" s="302"/>
      <c r="W281" s="332"/>
      <c r="X281" s="174"/>
      <c r="Y281" s="174"/>
      <c r="Z281" s="352"/>
      <c r="AA281" s="352"/>
      <c r="AB281" s="352"/>
      <c r="AC281" s="352"/>
      <c r="AD281" s="352"/>
      <c r="AG281" s="273"/>
      <c r="AH281" s="273"/>
    </row>
    <row r="282" spans="2:34" ht="30" customHeight="1" x14ac:dyDescent="0.2">
      <c r="B282" s="229"/>
      <c r="C282" s="230"/>
      <c r="D282" s="230"/>
      <c r="E282" s="230"/>
      <c r="F282" s="230"/>
      <c r="G282" s="230"/>
      <c r="H282" s="230"/>
      <c r="I282" s="230"/>
      <c r="J282" s="230"/>
      <c r="K282" s="99">
        <v>72154000</v>
      </c>
      <c r="L282" s="178" t="s">
        <v>339</v>
      </c>
      <c r="M282" s="134">
        <v>43835</v>
      </c>
      <c r="N282" s="134">
        <v>43845</v>
      </c>
      <c r="O282" s="157" t="s">
        <v>324</v>
      </c>
      <c r="P282" s="157" t="s">
        <v>338</v>
      </c>
      <c r="Q282" s="125"/>
      <c r="R282" s="101">
        <v>24530000</v>
      </c>
      <c r="S282" s="182" t="s">
        <v>386</v>
      </c>
      <c r="T282" s="102"/>
      <c r="U282" s="253" t="s">
        <v>221</v>
      </c>
      <c r="V282" s="302">
        <v>720</v>
      </c>
      <c r="W282" s="332">
        <v>43833</v>
      </c>
      <c r="X282" s="174">
        <v>24530000</v>
      </c>
      <c r="Y282" s="174">
        <v>24530000</v>
      </c>
      <c r="Z282" s="352">
        <v>24530000</v>
      </c>
      <c r="AA282" s="352">
        <f>+R282-Y282</f>
        <v>0</v>
      </c>
      <c r="AB282" s="352">
        <f>+Z282-AA282</f>
        <v>24530000</v>
      </c>
      <c r="AC282" s="352">
        <f>IF(Z282=0,"0",IF(Z282&gt;0,Y282-Z282,))</f>
        <v>0</v>
      </c>
      <c r="AD282" s="352">
        <f>+R282-Y282+AB282</f>
        <v>24530000</v>
      </c>
      <c r="AG282" s="273"/>
      <c r="AH282" s="273"/>
    </row>
    <row r="283" spans="2:34" ht="30" customHeight="1" x14ac:dyDescent="0.2">
      <c r="B283" s="229"/>
      <c r="C283" s="230"/>
      <c r="D283" s="230"/>
      <c r="E283" s="230"/>
      <c r="F283" s="230"/>
      <c r="G283" s="230"/>
      <c r="H283" s="230"/>
      <c r="I283" s="230"/>
      <c r="J283" s="230"/>
      <c r="K283" s="99">
        <v>72152300</v>
      </c>
      <c r="L283" s="178" t="s">
        <v>396</v>
      </c>
      <c r="M283" s="134">
        <v>43835</v>
      </c>
      <c r="N283" s="134">
        <v>43845</v>
      </c>
      <c r="O283" s="157" t="s">
        <v>324</v>
      </c>
      <c r="P283" s="157" t="s">
        <v>338</v>
      </c>
      <c r="Q283" s="125"/>
      <c r="R283" s="101">
        <v>24530000</v>
      </c>
      <c r="S283" s="182" t="s">
        <v>386</v>
      </c>
      <c r="T283" s="102"/>
      <c r="U283" s="253" t="s">
        <v>221</v>
      </c>
      <c r="V283" s="302">
        <v>820</v>
      </c>
      <c r="W283" s="332">
        <v>43833</v>
      </c>
      <c r="X283" s="174">
        <v>24530000</v>
      </c>
      <c r="Y283" s="174">
        <v>24530000</v>
      </c>
      <c r="Z283" s="352">
        <v>24530000</v>
      </c>
      <c r="AA283" s="352">
        <f>+R283-Y283</f>
        <v>0</v>
      </c>
      <c r="AB283" s="352">
        <f>+Z283-AA283</f>
        <v>24530000</v>
      </c>
      <c r="AC283" s="352">
        <f>IF(Z283=0,"0",IF(Z283&gt;0,Y283-Z283,))</f>
        <v>0</v>
      </c>
      <c r="AD283" s="352">
        <f>+R283-Y283+AB283</f>
        <v>24530000</v>
      </c>
      <c r="AG283" s="273"/>
      <c r="AH283" s="273"/>
    </row>
    <row r="284" spans="2:34" ht="30" customHeight="1" x14ac:dyDescent="0.2">
      <c r="B284" s="229"/>
      <c r="C284" s="230"/>
      <c r="D284" s="230"/>
      <c r="E284" s="230"/>
      <c r="F284" s="230"/>
      <c r="G284" s="230"/>
      <c r="H284" s="230"/>
      <c r="I284" s="230"/>
      <c r="J284" s="230"/>
      <c r="K284" s="99">
        <v>72154000</v>
      </c>
      <c r="L284" s="100" t="s">
        <v>209</v>
      </c>
      <c r="M284" s="134">
        <v>43989</v>
      </c>
      <c r="N284" s="134">
        <v>44019</v>
      </c>
      <c r="O284" s="157" t="s">
        <v>337</v>
      </c>
      <c r="P284" s="157" t="s">
        <v>319</v>
      </c>
      <c r="Q284" s="125"/>
      <c r="R284" s="101">
        <f>130000000+38940000+15700000-42000000</f>
        <v>142640000</v>
      </c>
      <c r="S284" s="182" t="s">
        <v>386</v>
      </c>
      <c r="T284" s="102"/>
      <c r="U284" s="253" t="s">
        <v>221</v>
      </c>
      <c r="V284" s="302">
        <v>27320</v>
      </c>
      <c r="W284" s="332">
        <v>43943</v>
      </c>
      <c r="X284" s="174">
        <v>142640000</v>
      </c>
      <c r="Y284" s="174">
        <v>142640000</v>
      </c>
      <c r="Z284" s="352">
        <v>0</v>
      </c>
      <c r="AA284" s="352">
        <f>+R284-Y284</f>
        <v>0</v>
      </c>
      <c r="AB284" s="352">
        <f>+Z284-AA284</f>
        <v>0</v>
      </c>
      <c r="AC284" s="352" t="str">
        <f>IF(Z284=0,"0",IF(Z284&gt;0,Y284-Z284,))</f>
        <v>0</v>
      </c>
      <c r="AD284" s="352">
        <f>+R284-Y284+AB284</f>
        <v>0</v>
      </c>
      <c r="AG284" s="273"/>
      <c r="AH284" s="273"/>
    </row>
    <row r="285" spans="2:34" ht="30" customHeight="1" x14ac:dyDescent="0.2">
      <c r="B285" s="11" t="s">
        <v>7</v>
      </c>
      <c r="C285" s="4" t="s">
        <v>27</v>
      </c>
      <c r="D285" s="4" t="s">
        <v>8</v>
      </c>
      <c r="E285" s="4" t="s">
        <v>20</v>
      </c>
      <c r="F285" s="4" t="s">
        <v>16</v>
      </c>
      <c r="G285" s="4" t="s">
        <v>15</v>
      </c>
      <c r="H285" s="4" t="s">
        <v>23</v>
      </c>
      <c r="I285" s="4"/>
      <c r="J285" s="197"/>
      <c r="K285" s="11"/>
      <c r="L285" s="189" t="s">
        <v>109</v>
      </c>
      <c r="M285" s="189"/>
      <c r="N285" s="133"/>
      <c r="O285" s="156"/>
      <c r="P285" s="156"/>
      <c r="Q285" s="125">
        <f>SUM(Q286:Q286)</f>
        <v>23000000</v>
      </c>
      <c r="R285" s="5">
        <f>SUM(R286:R286)</f>
        <v>0</v>
      </c>
      <c r="S285" s="181"/>
      <c r="T285" s="9"/>
      <c r="U285" s="245"/>
      <c r="V285" s="301"/>
      <c r="W285" s="331"/>
      <c r="X285" s="5"/>
      <c r="Y285" s="5"/>
      <c r="Z285" s="355"/>
      <c r="AA285" s="355"/>
      <c r="AB285" s="355"/>
      <c r="AC285" s="355"/>
      <c r="AD285" s="355"/>
      <c r="AG285" s="273"/>
      <c r="AH285" s="273"/>
    </row>
    <row r="286" spans="2:34" ht="30" customHeight="1" x14ac:dyDescent="0.2">
      <c r="B286" s="11" t="s">
        <v>7</v>
      </c>
      <c r="C286" s="4" t="s">
        <v>27</v>
      </c>
      <c r="D286" s="4" t="s">
        <v>8</v>
      </c>
      <c r="E286" s="4" t="s">
        <v>20</v>
      </c>
      <c r="F286" s="4" t="s">
        <v>16</v>
      </c>
      <c r="G286" s="4" t="s">
        <v>15</v>
      </c>
      <c r="H286" s="4" t="s">
        <v>23</v>
      </c>
      <c r="I286" s="4" t="s">
        <v>21</v>
      </c>
      <c r="J286" s="197"/>
      <c r="K286" s="11"/>
      <c r="L286" s="6" t="s">
        <v>110</v>
      </c>
      <c r="M286" s="6"/>
      <c r="N286" s="133"/>
      <c r="O286" s="156"/>
      <c r="P286" s="156"/>
      <c r="Q286" s="125">
        <v>23000000</v>
      </c>
      <c r="R286" s="5">
        <f>SUM(R287:R287)</f>
        <v>0</v>
      </c>
      <c r="S286" s="181"/>
      <c r="T286" s="9"/>
      <c r="U286" s="245"/>
      <c r="V286" s="301"/>
      <c r="W286" s="331"/>
      <c r="X286" s="5"/>
      <c r="Y286" s="5"/>
      <c r="Z286" s="355"/>
      <c r="AA286" s="355"/>
      <c r="AB286" s="355"/>
      <c r="AC286" s="355"/>
      <c r="AD286" s="355"/>
      <c r="AG286" s="273"/>
      <c r="AH286" s="273"/>
    </row>
    <row r="287" spans="2:34" ht="15" customHeight="1" x14ac:dyDescent="0.2">
      <c r="B287" s="677"/>
      <c r="C287" s="678"/>
      <c r="D287" s="678"/>
      <c r="E287" s="678"/>
      <c r="F287" s="678"/>
      <c r="G287" s="678"/>
      <c r="H287" s="678"/>
      <c r="I287" s="678"/>
      <c r="J287" s="678"/>
      <c r="K287" s="99"/>
      <c r="L287" s="121"/>
      <c r="M287" s="134"/>
      <c r="N287" s="134"/>
      <c r="O287" s="157" t="s">
        <v>299</v>
      </c>
      <c r="P287" s="157" t="s">
        <v>318</v>
      </c>
      <c r="Q287" s="125"/>
      <c r="R287" s="101">
        <v>0</v>
      </c>
      <c r="S287" s="182" t="s">
        <v>386</v>
      </c>
      <c r="T287" s="102"/>
      <c r="U287" s="253" t="s">
        <v>221</v>
      </c>
      <c r="V287" s="302"/>
      <c r="W287" s="332"/>
      <c r="X287" s="174"/>
      <c r="Y287" s="174"/>
      <c r="Z287" s="352"/>
      <c r="AA287" s="352"/>
      <c r="AB287" s="352"/>
      <c r="AC287" s="352"/>
      <c r="AD287" s="352"/>
      <c r="AG287" s="273"/>
      <c r="AH287" s="273"/>
    </row>
    <row r="288" spans="2:34" ht="15" customHeight="1" x14ac:dyDescent="0.2">
      <c r="B288" s="13" t="s">
        <v>7</v>
      </c>
      <c r="C288" s="14" t="s">
        <v>27</v>
      </c>
      <c r="D288" s="14" t="s">
        <v>8</v>
      </c>
      <c r="E288" s="14" t="s">
        <v>20</v>
      </c>
      <c r="F288" s="14" t="s">
        <v>17</v>
      </c>
      <c r="G288" s="14"/>
      <c r="H288" s="14"/>
      <c r="I288" s="14"/>
      <c r="J288" s="195"/>
      <c r="K288" s="13"/>
      <c r="L288" s="15" t="s">
        <v>111</v>
      </c>
      <c r="M288" s="15"/>
      <c r="N288" s="131"/>
      <c r="O288" s="154"/>
      <c r="P288" s="154"/>
      <c r="Q288" s="125">
        <f>+Q292+Q289</f>
        <v>45000000</v>
      </c>
      <c r="R288" s="16">
        <f>+R292+R289</f>
        <v>45000000</v>
      </c>
      <c r="S288" s="14"/>
      <c r="T288" s="17"/>
      <c r="U288" s="252"/>
      <c r="V288" s="299"/>
      <c r="W288" s="329"/>
      <c r="X288" s="16"/>
      <c r="Y288" s="16"/>
      <c r="Z288" s="353"/>
      <c r="AA288" s="353"/>
      <c r="AB288" s="353"/>
      <c r="AC288" s="353"/>
      <c r="AD288" s="353"/>
      <c r="AG288" s="273"/>
      <c r="AH288" s="273"/>
    </row>
    <row r="289" spans="2:34" ht="15" customHeight="1" x14ac:dyDescent="0.2">
      <c r="B289" s="31" t="s">
        <v>7</v>
      </c>
      <c r="C289" s="32" t="s">
        <v>27</v>
      </c>
      <c r="D289" s="32" t="s">
        <v>8</v>
      </c>
      <c r="E289" s="32" t="s">
        <v>20</v>
      </c>
      <c r="F289" s="32" t="s">
        <v>17</v>
      </c>
      <c r="G289" s="32" t="s">
        <v>10</v>
      </c>
      <c r="H289" s="32"/>
      <c r="I289" s="32"/>
      <c r="J289" s="202"/>
      <c r="K289" s="31"/>
      <c r="L289" s="33" t="s">
        <v>112</v>
      </c>
      <c r="M289" s="33"/>
      <c r="N289" s="141"/>
      <c r="O289" s="164"/>
      <c r="P289" s="164"/>
      <c r="Q289" s="125">
        <f>+Q290</f>
        <v>14000000</v>
      </c>
      <c r="R289" s="34">
        <f>+R290</f>
        <v>14000000</v>
      </c>
      <c r="S289" s="32"/>
      <c r="T289" s="35"/>
      <c r="U289" s="261"/>
      <c r="V289" s="307"/>
      <c r="W289" s="337"/>
      <c r="X289" s="34"/>
      <c r="Y289" s="34"/>
      <c r="Z289" s="365"/>
      <c r="AA289" s="365"/>
      <c r="AB289" s="365"/>
      <c r="AC289" s="365"/>
      <c r="AD289" s="365"/>
      <c r="AG289" s="273"/>
      <c r="AH289" s="273"/>
    </row>
    <row r="290" spans="2:34" ht="15" customHeight="1" x14ac:dyDescent="0.2">
      <c r="B290" s="11" t="s">
        <v>7</v>
      </c>
      <c r="C290" s="4" t="s">
        <v>27</v>
      </c>
      <c r="D290" s="4" t="s">
        <v>8</v>
      </c>
      <c r="E290" s="4" t="s">
        <v>20</v>
      </c>
      <c r="F290" s="4" t="s">
        <v>17</v>
      </c>
      <c r="G290" s="4" t="s">
        <v>10</v>
      </c>
      <c r="H290" s="4" t="s">
        <v>31</v>
      </c>
      <c r="I290" s="4"/>
      <c r="J290" s="197"/>
      <c r="K290" s="11"/>
      <c r="L290" s="6" t="s">
        <v>113</v>
      </c>
      <c r="M290" s="6"/>
      <c r="N290" s="133"/>
      <c r="O290" s="156"/>
      <c r="P290" s="156"/>
      <c r="Q290" s="125">
        <v>14000000</v>
      </c>
      <c r="R290" s="5">
        <f>SUM(R291:R291)</f>
        <v>14000000</v>
      </c>
      <c r="S290" s="181"/>
      <c r="T290" s="9"/>
      <c r="U290" s="245"/>
      <c r="V290" s="301"/>
      <c r="W290" s="331"/>
      <c r="X290" s="5"/>
      <c r="Y290" s="5"/>
      <c r="Z290" s="355"/>
      <c r="AA290" s="355"/>
      <c r="AB290" s="355"/>
      <c r="AC290" s="355"/>
      <c r="AD290" s="355"/>
      <c r="AG290" s="273"/>
      <c r="AH290" s="273"/>
    </row>
    <row r="291" spans="2:34" ht="30" customHeight="1" x14ac:dyDescent="0.2">
      <c r="B291" s="677"/>
      <c r="C291" s="678"/>
      <c r="D291" s="678"/>
      <c r="E291" s="678"/>
      <c r="F291" s="678"/>
      <c r="G291" s="678"/>
      <c r="H291" s="678"/>
      <c r="I291" s="678"/>
      <c r="J291" s="678"/>
      <c r="K291" s="99"/>
      <c r="L291" s="100" t="s">
        <v>211</v>
      </c>
      <c r="M291" s="134">
        <v>44075</v>
      </c>
      <c r="N291" s="134">
        <v>44105</v>
      </c>
      <c r="O291" s="157" t="s">
        <v>332</v>
      </c>
      <c r="P291" s="157" t="s">
        <v>318</v>
      </c>
      <c r="Q291" s="125"/>
      <c r="R291" s="101">
        <v>14000000</v>
      </c>
      <c r="S291" s="182" t="s">
        <v>386</v>
      </c>
      <c r="T291" s="102"/>
      <c r="U291" s="253" t="s">
        <v>194</v>
      </c>
      <c r="V291" s="302"/>
      <c r="W291" s="332"/>
      <c r="X291" s="174"/>
      <c r="Y291" s="174"/>
      <c r="Z291" s="352"/>
      <c r="AA291" s="352"/>
      <c r="AB291" s="352"/>
      <c r="AC291" s="352"/>
      <c r="AD291" s="352"/>
      <c r="AG291" s="273"/>
      <c r="AH291" s="273"/>
    </row>
    <row r="292" spans="2:34" ht="15" customHeight="1" x14ac:dyDescent="0.2">
      <c r="B292" s="31" t="s">
        <v>7</v>
      </c>
      <c r="C292" s="32" t="s">
        <v>27</v>
      </c>
      <c r="D292" s="32" t="s">
        <v>8</v>
      </c>
      <c r="E292" s="32" t="s">
        <v>20</v>
      </c>
      <c r="F292" s="32" t="s">
        <v>17</v>
      </c>
      <c r="G292" s="32" t="s">
        <v>15</v>
      </c>
      <c r="H292" s="32"/>
      <c r="I292" s="32"/>
      <c r="J292" s="202"/>
      <c r="K292" s="31"/>
      <c r="L292" s="33" t="s">
        <v>117</v>
      </c>
      <c r="M292" s="33"/>
      <c r="N292" s="141"/>
      <c r="O292" s="164"/>
      <c r="P292" s="164"/>
      <c r="Q292" s="125">
        <f>+Q293+Q295</f>
        <v>31000000</v>
      </c>
      <c r="R292" s="34">
        <f>+R293+R295</f>
        <v>31000000</v>
      </c>
      <c r="S292" s="32"/>
      <c r="T292" s="35"/>
      <c r="U292" s="261"/>
      <c r="V292" s="307"/>
      <c r="W292" s="337"/>
      <c r="X292" s="34"/>
      <c r="Y292" s="34"/>
      <c r="Z292" s="365"/>
      <c r="AA292" s="365"/>
      <c r="AB292" s="365"/>
      <c r="AC292" s="365"/>
      <c r="AD292" s="365"/>
      <c r="AG292" s="273"/>
      <c r="AH292" s="273"/>
    </row>
    <row r="293" spans="2:34" ht="15" customHeight="1" x14ac:dyDescent="0.2">
      <c r="B293" s="11" t="s">
        <v>7</v>
      </c>
      <c r="C293" s="4" t="s">
        <v>27</v>
      </c>
      <c r="D293" s="4" t="s">
        <v>8</v>
      </c>
      <c r="E293" s="4" t="s">
        <v>20</v>
      </c>
      <c r="F293" s="4" t="s">
        <v>17</v>
      </c>
      <c r="G293" s="4" t="s">
        <v>15</v>
      </c>
      <c r="H293" s="4" t="s">
        <v>8</v>
      </c>
      <c r="I293" s="4"/>
      <c r="J293" s="197"/>
      <c r="K293" s="11"/>
      <c r="L293" s="6" t="s">
        <v>118</v>
      </c>
      <c r="M293" s="6"/>
      <c r="N293" s="133"/>
      <c r="O293" s="156"/>
      <c r="P293" s="156"/>
      <c r="Q293" s="125">
        <v>16000000</v>
      </c>
      <c r="R293" s="5">
        <f>SUM(R294:R294)</f>
        <v>0</v>
      </c>
      <c r="S293" s="181"/>
      <c r="T293" s="9"/>
      <c r="U293" s="245"/>
      <c r="V293" s="301"/>
      <c r="W293" s="331"/>
      <c r="X293" s="5"/>
      <c r="Y293" s="5"/>
      <c r="Z293" s="355"/>
      <c r="AA293" s="355"/>
      <c r="AB293" s="355"/>
      <c r="AC293" s="355"/>
      <c r="AD293" s="355"/>
      <c r="AG293" s="273"/>
      <c r="AH293" s="273"/>
    </row>
    <row r="294" spans="2:34" ht="30" customHeight="1" x14ac:dyDescent="0.2">
      <c r="B294" s="677"/>
      <c r="C294" s="678"/>
      <c r="D294" s="678"/>
      <c r="E294" s="678"/>
      <c r="F294" s="678"/>
      <c r="G294" s="678"/>
      <c r="H294" s="678"/>
      <c r="I294" s="678"/>
      <c r="J294" s="678"/>
      <c r="K294" s="99"/>
      <c r="L294" s="100" t="s">
        <v>212</v>
      </c>
      <c r="M294" s="100"/>
      <c r="N294" s="134"/>
      <c r="O294" s="157"/>
      <c r="P294" s="157"/>
      <c r="Q294" s="125"/>
      <c r="R294" s="101">
        <v>0</v>
      </c>
      <c r="S294" s="182"/>
      <c r="T294" s="102"/>
      <c r="U294" s="253" t="s">
        <v>221</v>
      </c>
      <c r="V294" s="302"/>
      <c r="W294" s="332"/>
      <c r="X294" s="174"/>
      <c r="Y294" s="174"/>
      <c r="Z294" s="352"/>
      <c r="AA294" s="352"/>
      <c r="AB294" s="352"/>
      <c r="AC294" s="352"/>
      <c r="AD294" s="352"/>
      <c r="AG294" s="273"/>
      <c r="AH294" s="273"/>
    </row>
    <row r="295" spans="2:34" ht="15" customHeight="1" x14ac:dyDescent="0.2">
      <c r="B295" s="11" t="s">
        <v>7</v>
      </c>
      <c r="C295" s="4" t="s">
        <v>27</v>
      </c>
      <c r="D295" s="4" t="s">
        <v>8</v>
      </c>
      <c r="E295" s="4" t="s">
        <v>20</v>
      </c>
      <c r="F295" s="4" t="s">
        <v>17</v>
      </c>
      <c r="G295" s="4" t="s">
        <v>15</v>
      </c>
      <c r="H295" s="4" t="s">
        <v>31</v>
      </c>
      <c r="I295" s="4"/>
      <c r="J295" s="197"/>
      <c r="K295" s="11"/>
      <c r="L295" s="6" t="s">
        <v>119</v>
      </c>
      <c r="M295" s="6"/>
      <c r="N295" s="133"/>
      <c r="O295" s="156"/>
      <c r="P295" s="156"/>
      <c r="Q295" s="125">
        <v>15000000</v>
      </c>
      <c r="R295" s="5">
        <f>SUM(R296:R296)</f>
        <v>31000000</v>
      </c>
      <c r="S295" s="181"/>
      <c r="T295" s="9"/>
      <c r="U295" s="245"/>
      <c r="V295" s="301"/>
      <c r="W295" s="331"/>
      <c r="X295" s="5"/>
      <c r="Y295" s="5"/>
      <c r="Z295" s="355"/>
      <c r="AA295" s="355"/>
      <c r="AB295" s="355"/>
      <c r="AC295" s="355"/>
      <c r="AD295" s="355"/>
      <c r="AG295" s="273"/>
      <c r="AH295" s="273"/>
    </row>
    <row r="296" spans="2:34" ht="30" customHeight="1" x14ac:dyDescent="0.2">
      <c r="B296" s="677"/>
      <c r="C296" s="678"/>
      <c r="D296" s="678"/>
      <c r="E296" s="678"/>
      <c r="F296" s="678"/>
      <c r="G296" s="678"/>
      <c r="H296" s="678"/>
      <c r="I296" s="678"/>
      <c r="J296" s="678"/>
      <c r="K296" s="99">
        <v>72102100</v>
      </c>
      <c r="L296" s="100" t="s">
        <v>208</v>
      </c>
      <c r="M296" s="134">
        <v>43525</v>
      </c>
      <c r="N296" s="134">
        <v>43922</v>
      </c>
      <c r="O296" s="157" t="s">
        <v>403</v>
      </c>
      <c r="P296" s="157" t="s">
        <v>319</v>
      </c>
      <c r="Q296" s="125"/>
      <c r="R296" s="101">
        <v>31000000</v>
      </c>
      <c r="S296" s="182" t="s">
        <v>386</v>
      </c>
      <c r="T296" s="102"/>
      <c r="U296" s="253" t="s">
        <v>221</v>
      </c>
      <c r="V296" s="302">
        <v>25220</v>
      </c>
      <c r="W296" s="332">
        <v>43943</v>
      </c>
      <c r="X296" s="174">
        <v>31000000</v>
      </c>
      <c r="Y296" s="174">
        <v>31000000</v>
      </c>
      <c r="Z296" s="352"/>
      <c r="AA296" s="352">
        <f>+R296-Y296</f>
        <v>0</v>
      </c>
      <c r="AB296" s="352">
        <f>+Z296-AA296</f>
        <v>0</v>
      </c>
      <c r="AC296" s="352" t="str">
        <f>IF(Z296=0,"0",IF(Z296&gt;0,Y296-Z296,))</f>
        <v>0</v>
      </c>
      <c r="AD296" s="352">
        <f>+R296-Y296+AB296</f>
        <v>0</v>
      </c>
      <c r="AG296" s="273"/>
      <c r="AH296" s="273"/>
    </row>
    <row r="297" spans="2:34" ht="15.75" customHeight="1" x14ac:dyDescent="0.25">
      <c r="B297" s="63" t="s">
        <v>7</v>
      </c>
      <c r="C297" s="64" t="s">
        <v>29</v>
      </c>
      <c r="D297" s="64"/>
      <c r="E297" s="64"/>
      <c r="F297" s="64"/>
      <c r="G297" s="64"/>
      <c r="H297" s="64"/>
      <c r="I297" s="64"/>
      <c r="J297" s="203"/>
      <c r="K297" s="63"/>
      <c r="L297" s="61" t="s">
        <v>123</v>
      </c>
      <c r="M297" s="61"/>
      <c r="N297" s="142"/>
      <c r="O297" s="165"/>
      <c r="P297" s="165"/>
      <c r="Q297" s="127">
        <f>+Q298+Q300</f>
        <v>1992000000</v>
      </c>
      <c r="R297" s="62">
        <f>+R298+R300</f>
        <v>1992000000</v>
      </c>
      <c r="S297" s="226"/>
      <c r="T297" s="65"/>
      <c r="U297" s="262"/>
      <c r="V297" s="309"/>
      <c r="W297" s="339"/>
      <c r="X297" s="62"/>
      <c r="Y297" s="62"/>
      <c r="Z297" s="367"/>
      <c r="AA297" s="367"/>
      <c r="AB297" s="367"/>
      <c r="AC297" s="367"/>
      <c r="AD297" s="367"/>
      <c r="AG297" s="273"/>
      <c r="AH297" s="273"/>
    </row>
    <row r="298" spans="2:34" ht="15.75" customHeight="1" x14ac:dyDescent="0.25">
      <c r="B298" s="71" t="s">
        <v>7</v>
      </c>
      <c r="C298" s="72" t="s">
        <v>29</v>
      </c>
      <c r="D298" s="72" t="s">
        <v>8</v>
      </c>
      <c r="E298" s="72"/>
      <c r="F298" s="72"/>
      <c r="G298" s="72"/>
      <c r="H298" s="72"/>
      <c r="I298" s="72"/>
      <c r="J298" s="204"/>
      <c r="K298" s="71"/>
      <c r="L298" s="73" t="s">
        <v>124</v>
      </c>
      <c r="M298" s="73"/>
      <c r="N298" s="143"/>
      <c r="O298" s="166"/>
      <c r="P298" s="166"/>
      <c r="Q298" s="127">
        <v>92000000</v>
      </c>
      <c r="R298" s="74">
        <f>SUM(R299:R299)</f>
        <v>92000000</v>
      </c>
      <c r="S298" s="72"/>
      <c r="T298" s="75"/>
      <c r="U298" s="263"/>
      <c r="V298" s="310"/>
      <c r="W298" s="340"/>
      <c r="X298" s="74"/>
      <c r="Y298" s="74"/>
      <c r="Z298" s="368"/>
      <c r="AA298" s="368"/>
      <c r="AB298" s="368"/>
      <c r="AC298" s="368"/>
      <c r="AD298" s="368"/>
      <c r="AG298" s="273"/>
      <c r="AH298" s="273"/>
    </row>
    <row r="299" spans="2:34" ht="45" customHeight="1" x14ac:dyDescent="0.2">
      <c r="B299" s="687"/>
      <c r="C299" s="688"/>
      <c r="D299" s="688"/>
      <c r="E299" s="688"/>
      <c r="F299" s="688"/>
      <c r="G299" s="688"/>
      <c r="H299" s="688"/>
      <c r="I299" s="688"/>
      <c r="J299" s="688"/>
      <c r="K299" s="122"/>
      <c r="L299" s="384" t="s">
        <v>124</v>
      </c>
      <c r="M299" s="121"/>
      <c r="N299" s="134"/>
      <c r="O299" s="157"/>
      <c r="P299" s="157"/>
      <c r="Q299" s="125"/>
      <c r="R299" s="101">
        <v>92000000</v>
      </c>
      <c r="S299" s="182" t="s">
        <v>386</v>
      </c>
      <c r="T299" s="123"/>
      <c r="U299" s="264" t="s">
        <v>194</v>
      </c>
      <c r="V299" s="302" t="s">
        <v>450</v>
      </c>
      <c r="W299" s="332" t="s">
        <v>451</v>
      </c>
      <c r="X299" s="174">
        <f>26000000+5000000+259725</f>
        <v>31259725</v>
      </c>
      <c r="Y299" s="174">
        <f>26000000+5000000+259725</f>
        <v>31259725</v>
      </c>
      <c r="Z299" s="174">
        <f>26000000+5000000+259725</f>
        <v>31259725</v>
      </c>
      <c r="AA299" s="352">
        <f>+R299-Y299</f>
        <v>60740275</v>
      </c>
      <c r="AB299" s="352">
        <f>+Z299-AA299</f>
        <v>-29480550</v>
      </c>
      <c r="AC299" s="352">
        <f>IF(Z299=0,"0",IF(Z299&gt;0,Y299-Z299,))</f>
        <v>0</v>
      </c>
      <c r="AD299" s="352">
        <f>+R299-Y299+AB299</f>
        <v>31259725</v>
      </c>
      <c r="AG299" s="273"/>
      <c r="AH299" s="273"/>
    </row>
    <row r="300" spans="2:34" ht="15.75" customHeight="1" x14ac:dyDescent="0.25">
      <c r="B300" s="71" t="s">
        <v>7</v>
      </c>
      <c r="C300" s="72" t="s">
        <v>29</v>
      </c>
      <c r="D300" s="72" t="s">
        <v>23</v>
      </c>
      <c r="E300" s="72"/>
      <c r="F300" s="72"/>
      <c r="G300" s="72"/>
      <c r="H300" s="72"/>
      <c r="I300" s="72"/>
      <c r="J300" s="204"/>
      <c r="K300" s="71"/>
      <c r="L300" s="73" t="s">
        <v>125</v>
      </c>
      <c r="M300" s="73"/>
      <c r="N300" s="143"/>
      <c r="O300" s="166"/>
      <c r="P300" s="166"/>
      <c r="Q300" s="127">
        <v>1900000000</v>
      </c>
      <c r="R300" s="74">
        <f>SUM(R301:R301)</f>
        <v>1900000000</v>
      </c>
      <c r="S300" s="72"/>
      <c r="T300" s="75"/>
      <c r="U300" s="263"/>
      <c r="V300" s="310"/>
      <c r="W300" s="340"/>
      <c r="X300" s="74"/>
      <c r="Y300" s="74"/>
      <c r="Z300" s="368"/>
      <c r="AA300" s="368"/>
      <c r="AB300" s="368"/>
      <c r="AC300" s="368"/>
      <c r="AD300" s="368"/>
      <c r="AG300" s="273"/>
      <c r="AH300" s="273"/>
    </row>
    <row r="301" spans="2:34" ht="48.75" customHeight="1" x14ac:dyDescent="0.2">
      <c r="B301" s="687"/>
      <c r="C301" s="688"/>
      <c r="D301" s="688"/>
      <c r="E301" s="688"/>
      <c r="F301" s="688"/>
      <c r="G301" s="688"/>
      <c r="H301" s="688"/>
      <c r="I301" s="688"/>
      <c r="J301" s="688"/>
      <c r="K301" s="122"/>
      <c r="L301" s="384" t="s">
        <v>261</v>
      </c>
      <c r="M301" s="121"/>
      <c r="N301" s="134"/>
      <c r="O301" s="157"/>
      <c r="P301" s="157"/>
      <c r="Q301" s="125"/>
      <c r="R301" s="101">
        <f>1900000000</f>
        <v>1900000000</v>
      </c>
      <c r="S301" s="182" t="s">
        <v>386</v>
      </c>
      <c r="T301" s="123"/>
      <c r="U301" s="264" t="s">
        <v>271</v>
      </c>
      <c r="V301" s="302" t="s">
        <v>452</v>
      </c>
      <c r="W301" s="332"/>
      <c r="X301" s="174">
        <v>706406475</v>
      </c>
      <c r="Y301" s="174">
        <v>706406475</v>
      </c>
      <c r="Z301" s="352">
        <v>706406475</v>
      </c>
      <c r="AA301" s="352">
        <f>+R301-Y301</f>
        <v>1193593525</v>
      </c>
      <c r="AB301" s="352">
        <f>+Z301-AA301</f>
        <v>-487187050</v>
      </c>
      <c r="AC301" s="352">
        <f>IF(Z301=0,"0",IF(Z301&gt;0,Y301-Z301,))</f>
        <v>0</v>
      </c>
      <c r="AD301" s="352">
        <f>+R301-Y301+AB301</f>
        <v>706406475</v>
      </c>
      <c r="AG301" s="273"/>
      <c r="AH301" s="273"/>
    </row>
    <row r="302" spans="2:34" ht="15.6" customHeight="1" x14ac:dyDescent="0.25">
      <c r="B302" s="78" t="s">
        <v>7</v>
      </c>
      <c r="C302" s="79" t="s">
        <v>30</v>
      </c>
      <c r="D302" s="79"/>
      <c r="E302" s="79"/>
      <c r="F302" s="79"/>
      <c r="G302" s="79"/>
      <c r="H302" s="79"/>
      <c r="I302" s="79"/>
      <c r="J302" s="205"/>
      <c r="K302" s="78"/>
      <c r="L302" s="76" t="s">
        <v>126</v>
      </c>
      <c r="M302" s="76"/>
      <c r="N302" s="144"/>
      <c r="O302" s="167"/>
      <c r="P302" s="167"/>
      <c r="Q302" s="127">
        <f>+Q303+Q311</f>
        <v>4187000000</v>
      </c>
      <c r="R302" s="77">
        <f>+R303+R311</f>
        <v>4187000000</v>
      </c>
      <c r="S302" s="79"/>
      <c r="T302" s="80"/>
      <c r="U302" s="265"/>
      <c r="V302" s="311"/>
      <c r="W302" s="341"/>
      <c r="X302" s="77"/>
      <c r="Y302" s="77"/>
      <c r="Z302" s="369"/>
      <c r="AA302" s="369"/>
      <c r="AB302" s="369"/>
      <c r="AC302" s="369"/>
      <c r="AD302" s="369"/>
      <c r="AG302" s="273"/>
      <c r="AH302" s="273"/>
    </row>
    <row r="303" spans="2:34" ht="15.75" customHeight="1" x14ac:dyDescent="0.25">
      <c r="B303" s="81" t="s">
        <v>7</v>
      </c>
      <c r="C303" s="82" t="s">
        <v>30</v>
      </c>
      <c r="D303" s="82" t="s">
        <v>8</v>
      </c>
      <c r="E303" s="82"/>
      <c r="F303" s="82"/>
      <c r="G303" s="82"/>
      <c r="H303" s="82"/>
      <c r="I303" s="82"/>
      <c r="J303" s="206"/>
      <c r="K303" s="81"/>
      <c r="L303" s="83" t="s">
        <v>127</v>
      </c>
      <c r="M303" s="83"/>
      <c r="N303" s="145"/>
      <c r="O303" s="168"/>
      <c r="P303" s="168"/>
      <c r="Q303" s="127">
        <f>+Q304</f>
        <v>3869000000</v>
      </c>
      <c r="R303" s="84">
        <f>+R304</f>
        <v>3869000000</v>
      </c>
      <c r="S303" s="82"/>
      <c r="T303" s="85"/>
      <c r="U303" s="266"/>
      <c r="V303" s="312"/>
      <c r="W303" s="342"/>
      <c r="X303" s="84"/>
      <c r="Y303" s="84"/>
      <c r="Z303" s="370"/>
      <c r="AA303" s="370"/>
      <c r="AB303" s="370"/>
      <c r="AC303" s="370"/>
      <c r="AD303" s="370"/>
      <c r="AG303" s="273"/>
      <c r="AH303" s="273"/>
    </row>
    <row r="304" spans="2:34" ht="15" customHeight="1" x14ac:dyDescent="0.2">
      <c r="B304" s="66" t="s">
        <v>7</v>
      </c>
      <c r="C304" s="67" t="s">
        <v>30</v>
      </c>
      <c r="D304" s="67" t="s">
        <v>8</v>
      </c>
      <c r="E304" s="67" t="s">
        <v>20</v>
      </c>
      <c r="F304" s="67"/>
      <c r="G304" s="67"/>
      <c r="H304" s="67"/>
      <c r="I304" s="67"/>
      <c r="J304" s="207"/>
      <c r="K304" s="66"/>
      <c r="L304" s="68" t="s">
        <v>128</v>
      </c>
      <c r="M304" s="68"/>
      <c r="N304" s="146"/>
      <c r="O304" s="169"/>
      <c r="P304" s="169"/>
      <c r="Q304" s="125">
        <f>+Q305+Q307+Q309</f>
        <v>3869000000</v>
      </c>
      <c r="R304" s="69">
        <f>+R305+R307+R309</f>
        <v>3869000000</v>
      </c>
      <c r="S304" s="67"/>
      <c r="T304" s="70"/>
      <c r="U304" s="267"/>
      <c r="V304" s="313"/>
      <c r="W304" s="343"/>
      <c r="X304" s="69"/>
      <c r="Y304" s="69"/>
      <c r="Z304" s="371"/>
      <c r="AA304" s="371"/>
      <c r="AB304" s="371"/>
      <c r="AC304" s="371"/>
      <c r="AD304" s="371"/>
      <c r="AG304" s="273"/>
      <c r="AH304" s="273"/>
    </row>
    <row r="305" spans="2:34" ht="15" customHeight="1" x14ac:dyDescent="0.2">
      <c r="B305" s="13" t="s">
        <v>7</v>
      </c>
      <c r="C305" s="14" t="s">
        <v>30</v>
      </c>
      <c r="D305" s="14" t="s">
        <v>8</v>
      </c>
      <c r="E305" s="14" t="s">
        <v>20</v>
      </c>
      <c r="F305" s="14" t="s">
        <v>9</v>
      </c>
      <c r="G305" s="14"/>
      <c r="H305" s="14"/>
      <c r="I305" s="14"/>
      <c r="J305" s="195"/>
      <c r="K305" s="13"/>
      <c r="L305" s="15" t="s">
        <v>129</v>
      </c>
      <c r="M305" s="15"/>
      <c r="N305" s="131"/>
      <c r="O305" s="154"/>
      <c r="P305" s="154"/>
      <c r="Q305" s="125">
        <v>3800000000</v>
      </c>
      <c r="R305" s="16">
        <f>SUM(R306:R306)</f>
        <v>3800000000</v>
      </c>
      <c r="S305" s="14"/>
      <c r="T305" s="17"/>
      <c r="U305" s="252"/>
      <c r="V305" s="299"/>
      <c r="W305" s="329"/>
      <c r="X305" s="16"/>
      <c r="Y305" s="16"/>
      <c r="Z305" s="353"/>
      <c r="AA305" s="353"/>
      <c r="AB305" s="353"/>
      <c r="AC305" s="353"/>
      <c r="AD305" s="353"/>
      <c r="AG305" s="273"/>
      <c r="AH305" s="273"/>
    </row>
    <row r="306" spans="2:34" ht="30.75" customHeight="1" x14ac:dyDescent="0.2">
      <c r="B306" s="677"/>
      <c r="C306" s="678"/>
      <c r="D306" s="678"/>
      <c r="E306" s="678"/>
      <c r="F306" s="678"/>
      <c r="G306" s="678"/>
      <c r="H306" s="678"/>
      <c r="I306" s="678"/>
      <c r="J306" s="678"/>
      <c r="K306" s="122"/>
      <c r="L306" s="121" t="s">
        <v>129</v>
      </c>
      <c r="M306" s="121"/>
      <c r="N306" s="134"/>
      <c r="O306" s="157"/>
      <c r="P306" s="157"/>
      <c r="Q306" s="125"/>
      <c r="R306" s="101">
        <v>3800000000</v>
      </c>
      <c r="S306" s="182" t="s">
        <v>386</v>
      </c>
      <c r="T306" s="123"/>
      <c r="U306" s="264" t="s">
        <v>268</v>
      </c>
      <c r="V306" s="302" t="s">
        <v>453</v>
      </c>
      <c r="W306" s="332" t="s">
        <v>454</v>
      </c>
      <c r="X306" s="174">
        <v>2874161499</v>
      </c>
      <c r="Y306" s="174">
        <v>2874161499</v>
      </c>
      <c r="Z306" s="352">
        <v>2874161499</v>
      </c>
      <c r="AA306" s="352">
        <f>+R306-Y306</f>
        <v>925838501</v>
      </c>
      <c r="AB306" s="352">
        <f>+Z306-AA306</f>
        <v>1948322998</v>
      </c>
      <c r="AC306" s="352">
        <f>IF(Z306=0,"0",IF(Z306&gt;0,Y306-Z306,))</f>
        <v>0</v>
      </c>
      <c r="AD306" s="352">
        <f>+R306-Y306+AB306</f>
        <v>2874161499</v>
      </c>
      <c r="AG306" s="273"/>
      <c r="AH306" s="273"/>
    </row>
    <row r="307" spans="2:34" ht="15" customHeight="1" x14ac:dyDescent="0.2">
      <c r="B307" s="13" t="s">
        <v>7</v>
      </c>
      <c r="C307" s="14" t="s">
        <v>30</v>
      </c>
      <c r="D307" s="14" t="s">
        <v>8</v>
      </c>
      <c r="E307" s="14" t="s">
        <v>20</v>
      </c>
      <c r="F307" s="14" t="s">
        <v>11</v>
      </c>
      <c r="G307" s="14"/>
      <c r="H307" s="14"/>
      <c r="I307" s="14"/>
      <c r="J307" s="195"/>
      <c r="K307" s="13"/>
      <c r="L307" s="15" t="s">
        <v>130</v>
      </c>
      <c r="M307" s="15"/>
      <c r="N307" s="131"/>
      <c r="O307" s="154"/>
      <c r="P307" s="154"/>
      <c r="Q307" s="125">
        <v>67000000</v>
      </c>
      <c r="R307" s="16">
        <f>SUM(R308:R308)</f>
        <v>67000000</v>
      </c>
      <c r="S307" s="14"/>
      <c r="T307" s="17"/>
      <c r="U307" s="252"/>
      <c r="V307" s="299"/>
      <c r="W307" s="329"/>
      <c r="X307" s="16"/>
      <c r="Y307" s="16"/>
      <c r="Z307" s="353"/>
      <c r="AA307" s="353"/>
      <c r="AB307" s="353"/>
      <c r="AC307" s="353"/>
      <c r="AD307" s="353"/>
      <c r="AG307" s="273"/>
      <c r="AH307" s="273"/>
    </row>
    <row r="308" spans="2:34" ht="45" x14ac:dyDescent="0.2">
      <c r="B308" s="677"/>
      <c r="C308" s="678"/>
      <c r="D308" s="678"/>
      <c r="E308" s="678"/>
      <c r="F308" s="678"/>
      <c r="G308" s="678"/>
      <c r="H308" s="678"/>
      <c r="I308" s="678"/>
      <c r="J308" s="678"/>
      <c r="K308" s="99"/>
      <c r="L308" s="100" t="s">
        <v>130</v>
      </c>
      <c r="M308" s="100"/>
      <c r="N308" s="134"/>
      <c r="O308" s="157"/>
      <c r="P308" s="157"/>
      <c r="Q308" s="125"/>
      <c r="R308" s="101">
        <v>67000000</v>
      </c>
      <c r="S308" s="182" t="s">
        <v>386</v>
      </c>
      <c r="T308" s="102"/>
      <c r="U308" s="253" t="s">
        <v>276</v>
      </c>
      <c r="V308" s="302" t="s">
        <v>455</v>
      </c>
      <c r="W308" s="332" t="s">
        <v>456</v>
      </c>
      <c r="X308" s="174">
        <v>33565544</v>
      </c>
      <c r="Y308" s="174">
        <v>33565544</v>
      </c>
      <c r="Z308" s="174">
        <v>33565544</v>
      </c>
      <c r="AA308" s="352">
        <f>+R308-Y308</f>
        <v>33434456</v>
      </c>
      <c r="AB308" s="352">
        <f>+Z308-AA308</f>
        <v>131088</v>
      </c>
      <c r="AC308" s="352">
        <f>IF(Z308=0,"0",IF(Z308&gt;0,Y308-Z308,))</f>
        <v>0</v>
      </c>
      <c r="AD308" s="352">
        <f>+R308-Y308+AB308</f>
        <v>33565544</v>
      </c>
      <c r="AG308" s="273"/>
      <c r="AH308" s="273"/>
    </row>
    <row r="309" spans="2:34" ht="15" customHeight="1" x14ac:dyDescent="0.2">
      <c r="B309" s="13" t="s">
        <v>7</v>
      </c>
      <c r="C309" s="14" t="s">
        <v>30</v>
      </c>
      <c r="D309" s="14" t="s">
        <v>8</v>
      </c>
      <c r="E309" s="14" t="s">
        <v>20</v>
      </c>
      <c r="F309" s="14" t="s">
        <v>14</v>
      </c>
      <c r="G309" s="14"/>
      <c r="H309" s="14"/>
      <c r="I309" s="14"/>
      <c r="J309" s="195"/>
      <c r="K309" s="13"/>
      <c r="L309" s="15" t="s">
        <v>131</v>
      </c>
      <c r="M309" s="15"/>
      <c r="N309" s="131"/>
      <c r="O309" s="154"/>
      <c r="P309" s="154"/>
      <c r="Q309" s="125">
        <v>2000000</v>
      </c>
      <c r="R309" s="16">
        <f>SUM(R310:R310)</f>
        <v>2000000</v>
      </c>
      <c r="S309" s="14"/>
      <c r="T309" s="17"/>
      <c r="U309" s="252"/>
      <c r="V309" s="299"/>
      <c r="W309" s="329"/>
      <c r="X309" s="16"/>
      <c r="Y309" s="16"/>
      <c r="Z309" s="353"/>
      <c r="AA309" s="353"/>
      <c r="AB309" s="353"/>
      <c r="AC309" s="353"/>
      <c r="AD309" s="353"/>
      <c r="AG309" s="273"/>
      <c r="AH309" s="273"/>
    </row>
    <row r="310" spans="2:34" ht="15" customHeight="1" x14ac:dyDescent="0.2">
      <c r="B310" s="677"/>
      <c r="C310" s="678"/>
      <c r="D310" s="678"/>
      <c r="E310" s="678"/>
      <c r="F310" s="678"/>
      <c r="G310" s="678"/>
      <c r="H310" s="678"/>
      <c r="I310" s="678"/>
      <c r="J310" s="678"/>
      <c r="K310" s="99"/>
      <c r="L310" s="100" t="s">
        <v>131</v>
      </c>
      <c r="M310" s="100"/>
      <c r="N310" s="134"/>
      <c r="O310" s="157"/>
      <c r="P310" s="157"/>
      <c r="Q310" s="125"/>
      <c r="R310" s="101">
        <v>2000000</v>
      </c>
      <c r="S310" s="182" t="s">
        <v>386</v>
      </c>
      <c r="T310" s="102"/>
      <c r="U310" s="257" t="s">
        <v>270</v>
      </c>
      <c r="V310" s="302"/>
      <c r="W310" s="332"/>
      <c r="X310" s="174"/>
      <c r="Y310" s="174"/>
      <c r="Z310" s="352"/>
      <c r="AA310" s="352"/>
      <c r="AB310" s="352"/>
      <c r="AC310" s="352"/>
      <c r="AD310" s="352"/>
      <c r="AG310" s="273"/>
      <c r="AH310" s="273"/>
    </row>
    <row r="311" spans="2:34" ht="15.75" customHeight="1" x14ac:dyDescent="0.25">
      <c r="B311" s="81" t="s">
        <v>7</v>
      </c>
      <c r="C311" s="82" t="s">
        <v>30</v>
      </c>
      <c r="D311" s="82" t="s">
        <v>24</v>
      </c>
      <c r="E311" s="82"/>
      <c r="F311" s="82"/>
      <c r="G311" s="82"/>
      <c r="H311" s="82"/>
      <c r="I311" s="82"/>
      <c r="J311" s="206"/>
      <c r="K311" s="81"/>
      <c r="L311" s="83" t="s">
        <v>132</v>
      </c>
      <c r="M311" s="83"/>
      <c r="N311" s="145"/>
      <c r="O311" s="168"/>
      <c r="P311" s="168"/>
      <c r="Q311" s="127">
        <f>+Q312+Q314</f>
        <v>318000000</v>
      </c>
      <c r="R311" s="84">
        <f>+R312+R314</f>
        <v>318000000</v>
      </c>
      <c r="S311" s="82"/>
      <c r="T311" s="85"/>
      <c r="U311" s="266"/>
      <c r="V311" s="312"/>
      <c r="W311" s="342"/>
      <c r="X311" s="84"/>
      <c r="Y311" s="84"/>
      <c r="Z311" s="370"/>
      <c r="AA311" s="370"/>
      <c r="AB311" s="370"/>
      <c r="AC311" s="370"/>
      <c r="AD311" s="370"/>
      <c r="AG311" s="273"/>
      <c r="AH311" s="273"/>
    </row>
    <row r="312" spans="2:34" ht="15" customHeight="1" x14ac:dyDescent="0.2">
      <c r="B312" s="66" t="s">
        <v>7</v>
      </c>
      <c r="C312" s="67" t="s">
        <v>30</v>
      </c>
      <c r="D312" s="67" t="s">
        <v>24</v>
      </c>
      <c r="E312" s="67" t="s">
        <v>8</v>
      </c>
      <c r="F312" s="67"/>
      <c r="G312" s="67"/>
      <c r="H312" s="67"/>
      <c r="I312" s="67"/>
      <c r="J312" s="207"/>
      <c r="K312" s="66"/>
      <c r="L312" s="68" t="s">
        <v>133</v>
      </c>
      <c r="M312" s="68"/>
      <c r="N312" s="146"/>
      <c r="O312" s="169"/>
      <c r="P312" s="169"/>
      <c r="Q312" s="125">
        <v>112000000</v>
      </c>
      <c r="R312" s="69">
        <f>SUM(R313)</f>
        <v>112000000</v>
      </c>
      <c r="S312" s="67"/>
      <c r="T312" s="70"/>
      <c r="U312" s="267"/>
      <c r="V312" s="313"/>
      <c r="W312" s="344"/>
      <c r="X312" s="212"/>
      <c r="Y312" s="212"/>
      <c r="Z312" s="372"/>
      <c r="AA312" s="372"/>
      <c r="AB312" s="372"/>
      <c r="AC312" s="372"/>
      <c r="AD312" s="372"/>
      <c r="AG312" s="273"/>
      <c r="AH312" s="273"/>
    </row>
    <row r="313" spans="2:34" ht="15" customHeight="1" x14ac:dyDescent="0.2">
      <c r="B313" s="677"/>
      <c r="C313" s="678"/>
      <c r="D313" s="678"/>
      <c r="E313" s="678"/>
      <c r="F313" s="678"/>
      <c r="G313" s="678"/>
      <c r="H313" s="678"/>
      <c r="I313" s="678"/>
      <c r="J313" s="678"/>
      <c r="K313" s="99"/>
      <c r="L313" s="100" t="s">
        <v>133</v>
      </c>
      <c r="M313" s="100"/>
      <c r="N313" s="134"/>
      <c r="O313" s="157"/>
      <c r="P313" s="157"/>
      <c r="Q313" s="125"/>
      <c r="R313" s="101">
        <v>112000000</v>
      </c>
      <c r="S313" s="182" t="s">
        <v>386</v>
      </c>
      <c r="T313" s="102"/>
      <c r="U313" s="253" t="s">
        <v>276</v>
      </c>
      <c r="V313" s="302"/>
      <c r="W313" s="332"/>
      <c r="X313" s="174"/>
      <c r="Y313" s="174"/>
      <c r="Z313" s="352"/>
      <c r="AA313" s="352"/>
      <c r="AB313" s="352"/>
      <c r="AC313" s="352"/>
      <c r="AD313" s="352"/>
      <c r="AG313" s="273"/>
      <c r="AH313" s="273"/>
    </row>
    <row r="314" spans="2:34" ht="15" customHeight="1" x14ac:dyDescent="0.2">
      <c r="B314" s="66" t="s">
        <v>7</v>
      </c>
      <c r="C314" s="67" t="s">
        <v>30</v>
      </c>
      <c r="D314" s="67" t="s">
        <v>24</v>
      </c>
      <c r="E314" s="67" t="s">
        <v>24</v>
      </c>
      <c r="F314" s="67"/>
      <c r="G314" s="67"/>
      <c r="H314" s="67"/>
      <c r="I314" s="67"/>
      <c r="J314" s="207"/>
      <c r="K314" s="66"/>
      <c r="L314" s="68" t="s">
        <v>393</v>
      </c>
      <c r="M314" s="68"/>
      <c r="N314" s="146"/>
      <c r="O314" s="169"/>
      <c r="P314" s="169"/>
      <c r="Q314" s="125">
        <v>206000000</v>
      </c>
      <c r="R314" s="69">
        <f>+R315</f>
        <v>206000000</v>
      </c>
      <c r="S314" s="67"/>
      <c r="T314" s="70"/>
      <c r="U314" s="267"/>
      <c r="V314" s="313"/>
      <c r="W314" s="343"/>
      <c r="X314" s="69"/>
      <c r="Y314" s="69"/>
      <c r="Z314" s="371"/>
      <c r="AA314" s="371"/>
      <c r="AB314" s="371"/>
      <c r="AC314" s="371"/>
      <c r="AD314" s="371"/>
      <c r="AG314" s="273"/>
      <c r="AH314" s="273"/>
    </row>
    <row r="315" spans="2:34" ht="15" customHeight="1" x14ac:dyDescent="0.2">
      <c r="B315" s="677"/>
      <c r="C315" s="678"/>
      <c r="D315" s="678"/>
      <c r="E315" s="678"/>
      <c r="F315" s="678"/>
      <c r="G315" s="678"/>
      <c r="H315" s="678"/>
      <c r="I315" s="678"/>
      <c r="J315" s="678"/>
      <c r="K315" s="99"/>
      <c r="L315" s="100" t="s">
        <v>394</v>
      </c>
      <c r="M315" s="100"/>
      <c r="N315" s="134"/>
      <c r="O315" s="157"/>
      <c r="P315" s="157"/>
      <c r="Q315" s="125"/>
      <c r="R315" s="101">
        <v>206000000</v>
      </c>
      <c r="S315" s="182" t="s">
        <v>386</v>
      </c>
      <c r="T315" s="102"/>
      <c r="U315" s="253"/>
      <c r="V315" s="302"/>
      <c r="W315" s="332"/>
      <c r="X315" s="174"/>
      <c r="Y315" s="174"/>
      <c r="Z315" s="352"/>
      <c r="AA315" s="352"/>
      <c r="AB315" s="352"/>
      <c r="AC315" s="352"/>
      <c r="AD315" s="352"/>
      <c r="AG315" s="273"/>
      <c r="AH315" s="273"/>
    </row>
    <row r="316" spans="2:34" ht="15.75" customHeight="1" x14ac:dyDescent="0.25">
      <c r="B316" s="86" t="s">
        <v>149</v>
      </c>
      <c r="C316" s="87"/>
      <c r="D316" s="87"/>
      <c r="E316" s="87"/>
      <c r="F316" s="87"/>
      <c r="G316" s="87"/>
      <c r="H316" s="87"/>
      <c r="I316" s="87"/>
      <c r="J316" s="208"/>
      <c r="K316" s="86"/>
      <c r="L316" s="88" t="s">
        <v>152</v>
      </c>
      <c r="M316" s="88"/>
      <c r="N316" s="147"/>
      <c r="O316" s="170"/>
      <c r="P316" s="170"/>
      <c r="Q316" s="127">
        <f>+Q317</f>
        <v>13016000000</v>
      </c>
      <c r="R316" s="89">
        <f>+R317</f>
        <v>13016000000</v>
      </c>
      <c r="S316" s="87"/>
      <c r="T316" s="90"/>
      <c r="U316" s="268"/>
      <c r="V316" s="314"/>
      <c r="W316" s="345"/>
      <c r="X316" s="89"/>
      <c r="Y316" s="89"/>
      <c r="Z316" s="373"/>
      <c r="AA316" s="373"/>
      <c r="AB316" s="373"/>
      <c r="AC316" s="373"/>
      <c r="AD316" s="373"/>
      <c r="AG316" s="273"/>
      <c r="AH316" s="273"/>
    </row>
    <row r="317" spans="2:34" ht="15" customHeight="1" x14ac:dyDescent="0.2">
      <c r="B317" s="56" t="s">
        <v>149</v>
      </c>
      <c r="C317" s="57"/>
      <c r="D317" s="57" t="s">
        <v>150</v>
      </c>
      <c r="E317" s="57"/>
      <c r="F317" s="57"/>
      <c r="G317" s="57"/>
      <c r="H317" s="57"/>
      <c r="I317" s="57"/>
      <c r="J317" s="209"/>
      <c r="K317" s="56"/>
      <c r="L317" s="58" t="s">
        <v>153</v>
      </c>
      <c r="M317" s="58"/>
      <c r="N317" s="148"/>
      <c r="O317" s="171"/>
      <c r="P317" s="171"/>
      <c r="Q317" s="125">
        <f>+Q318</f>
        <v>13016000000</v>
      </c>
      <c r="R317" s="59">
        <f>+R318</f>
        <v>13016000000</v>
      </c>
      <c r="S317" s="57"/>
      <c r="T317" s="60"/>
      <c r="U317" s="269"/>
      <c r="V317" s="315"/>
      <c r="W317" s="346"/>
      <c r="X317" s="59"/>
      <c r="Y317" s="59"/>
      <c r="Z317" s="374"/>
      <c r="AA317" s="374"/>
      <c r="AB317" s="374"/>
      <c r="AC317" s="374"/>
      <c r="AD317" s="374"/>
      <c r="AG317" s="273"/>
      <c r="AH317" s="273"/>
    </row>
    <row r="318" spans="2:34" ht="15" customHeight="1" x14ac:dyDescent="0.2">
      <c r="B318" s="36" t="s">
        <v>149</v>
      </c>
      <c r="C318" s="37"/>
      <c r="D318" s="37" t="s">
        <v>150</v>
      </c>
      <c r="E318" s="37"/>
      <c r="F318" s="37" t="s">
        <v>151</v>
      </c>
      <c r="G318" s="37"/>
      <c r="H318" s="37"/>
      <c r="I318" s="37"/>
      <c r="J318" s="210"/>
      <c r="K318" s="36"/>
      <c r="L318" s="38" t="s">
        <v>154</v>
      </c>
      <c r="M318" s="38"/>
      <c r="N318" s="149"/>
      <c r="O318" s="172"/>
      <c r="P318" s="172"/>
      <c r="Q318" s="125">
        <f>SUM(Q319:Q328)</f>
        <v>13016000000</v>
      </c>
      <c r="R318" s="39">
        <f>+R319+R328</f>
        <v>13016000000</v>
      </c>
      <c r="S318" s="37"/>
      <c r="T318" s="40"/>
      <c r="U318" s="270"/>
      <c r="V318" s="316"/>
      <c r="W318" s="347"/>
      <c r="X318" s="39"/>
      <c r="Y318" s="39"/>
      <c r="Z318" s="375"/>
      <c r="AA318" s="375"/>
      <c r="AB318" s="375"/>
      <c r="AC318" s="375"/>
      <c r="AD318" s="375"/>
      <c r="AG318" s="273"/>
      <c r="AH318" s="273"/>
    </row>
    <row r="319" spans="2:34" ht="15.75" customHeight="1" thickBot="1" x14ac:dyDescent="0.25">
      <c r="B319" s="13" t="s">
        <v>149</v>
      </c>
      <c r="C319" s="14"/>
      <c r="D319" s="14" t="s">
        <v>150</v>
      </c>
      <c r="E319" s="14"/>
      <c r="F319" s="14" t="s">
        <v>151</v>
      </c>
      <c r="G319" s="14"/>
      <c r="H319" s="14">
        <v>2</v>
      </c>
      <c r="I319" s="14"/>
      <c r="J319" s="195"/>
      <c r="K319" s="13"/>
      <c r="L319" s="15" t="s">
        <v>159</v>
      </c>
      <c r="M319" s="15"/>
      <c r="N319" s="131"/>
      <c r="O319" s="154"/>
      <c r="P319" s="154"/>
      <c r="Q319" s="125">
        <v>3751000000</v>
      </c>
      <c r="R319" s="16">
        <f>+R320</f>
        <v>3751000000</v>
      </c>
      <c r="S319" s="14"/>
      <c r="T319" s="17"/>
      <c r="U319" s="252"/>
      <c r="V319" s="299"/>
      <c r="W319" s="329"/>
      <c r="X319" s="16"/>
      <c r="Y319" s="16"/>
      <c r="Z319" s="353"/>
      <c r="AA319" s="353"/>
      <c r="AB319" s="353"/>
      <c r="AC319" s="353"/>
      <c r="AD319" s="353"/>
      <c r="AG319" s="273"/>
      <c r="AH319" s="273"/>
    </row>
    <row r="320" spans="2:34" ht="15.75" customHeight="1" x14ac:dyDescent="0.25">
      <c r="B320" s="19" t="s">
        <v>7</v>
      </c>
      <c r="C320" s="20" t="s">
        <v>20</v>
      </c>
      <c r="D320" s="20"/>
      <c r="E320" s="20"/>
      <c r="F320" s="20"/>
      <c r="G320" s="20"/>
      <c r="H320" s="20"/>
      <c r="I320" s="20"/>
      <c r="J320" s="192"/>
      <c r="K320" s="219"/>
      <c r="L320" s="220" t="s">
        <v>412</v>
      </c>
      <c r="M320" s="274"/>
      <c r="N320" s="275"/>
      <c r="O320" s="276"/>
      <c r="P320" s="276"/>
      <c r="Q320" s="277"/>
      <c r="R320" s="282">
        <f>SUM(R321:R327)</f>
        <v>3751000000</v>
      </c>
      <c r="S320" s="278"/>
      <c r="T320" s="279"/>
      <c r="U320" s="280"/>
      <c r="V320" s="317"/>
      <c r="W320" s="348"/>
      <c r="X320" s="282"/>
      <c r="Y320" s="282"/>
      <c r="Z320" s="376"/>
      <c r="AA320" s="376"/>
      <c r="AB320" s="376"/>
      <c r="AC320" s="376"/>
      <c r="AD320" s="376"/>
      <c r="AG320" s="273"/>
      <c r="AH320" s="273"/>
    </row>
    <row r="321" spans="2:34" ht="45" customHeight="1" x14ac:dyDescent="0.2">
      <c r="B321" s="677"/>
      <c r="C321" s="678"/>
      <c r="D321" s="678"/>
      <c r="E321" s="678"/>
      <c r="F321" s="678"/>
      <c r="G321" s="678"/>
      <c r="H321" s="678"/>
      <c r="I321" s="678"/>
      <c r="J321" s="678"/>
      <c r="K321" s="177" t="s">
        <v>343</v>
      </c>
      <c r="L321" s="178" t="s">
        <v>356</v>
      </c>
      <c r="M321" s="134">
        <v>43952</v>
      </c>
      <c r="N321" s="134">
        <v>43983</v>
      </c>
      <c r="O321" s="157" t="s">
        <v>357</v>
      </c>
      <c r="P321" s="157" t="s">
        <v>317</v>
      </c>
      <c r="Q321" s="125"/>
      <c r="R321" s="101">
        <v>3125500000</v>
      </c>
      <c r="S321" s="182" t="s">
        <v>322</v>
      </c>
      <c r="T321" s="101">
        <v>7672900000</v>
      </c>
      <c r="U321" s="257" t="s">
        <v>359</v>
      </c>
      <c r="V321" s="302"/>
      <c r="W321" s="332"/>
      <c r="X321" s="174"/>
      <c r="Y321" s="174"/>
      <c r="Z321" s="352"/>
      <c r="AA321" s="352"/>
      <c r="AB321" s="352"/>
      <c r="AC321" s="352"/>
      <c r="AD321" s="352"/>
      <c r="AG321" s="273"/>
      <c r="AH321" s="273"/>
    </row>
    <row r="322" spans="2:34" ht="30" customHeight="1" x14ac:dyDescent="0.2">
      <c r="B322" s="682"/>
      <c r="C322" s="683"/>
      <c r="D322" s="683"/>
      <c r="E322" s="683"/>
      <c r="F322" s="683"/>
      <c r="G322" s="683"/>
      <c r="H322" s="683"/>
      <c r="I322" s="683"/>
      <c r="J322" s="683"/>
      <c r="K322" s="99">
        <v>81101500</v>
      </c>
      <c r="L322" s="178" t="s">
        <v>358</v>
      </c>
      <c r="M322" s="134">
        <v>43952</v>
      </c>
      <c r="N322" s="134">
        <v>43983</v>
      </c>
      <c r="O322" s="157" t="s">
        <v>357</v>
      </c>
      <c r="P322" s="157" t="s">
        <v>376</v>
      </c>
      <c r="Q322" s="125"/>
      <c r="R322" s="101">
        <v>234500000</v>
      </c>
      <c r="S322" s="182" t="s">
        <v>322</v>
      </c>
      <c r="T322" s="101">
        <v>596100000</v>
      </c>
      <c r="U322" s="257" t="s">
        <v>359</v>
      </c>
      <c r="V322" s="302"/>
      <c r="W322" s="332"/>
      <c r="X322" s="174"/>
      <c r="Y322" s="174"/>
      <c r="Z322" s="352"/>
      <c r="AA322" s="352"/>
      <c r="AB322" s="352"/>
      <c r="AC322" s="352"/>
      <c r="AD322" s="352"/>
      <c r="AG322" s="273"/>
      <c r="AH322" s="273"/>
    </row>
    <row r="323" spans="2:34" ht="30" customHeight="1" x14ac:dyDescent="0.2">
      <c r="B323" s="682"/>
      <c r="C323" s="683"/>
      <c r="D323" s="683"/>
      <c r="E323" s="683"/>
      <c r="F323" s="683"/>
      <c r="G323" s="683"/>
      <c r="H323" s="683"/>
      <c r="I323" s="683"/>
      <c r="J323" s="683"/>
      <c r="K323" s="99">
        <v>81101500</v>
      </c>
      <c r="L323" s="178" t="s">
        <v>349</v>
      </c>
      <c r="M323" s="134">
        <v>43834</v>
      </c>
      <c r="N323" s="134">
        <v>43840</v>
      </c>
      <c r="O323" s="157" t="s">
        <v>324</v>
      </c>
      <c r="P323" s="157" t="s">
        <v>338</v>
      </c>
      <c r="Q323" s="125"/>
      <c r="R323" s="101">
        <f>79500000-20000000</f>
        <v>59500000</v>
      </c>
      <c r="S323" s="182" t="s">
        <v>350</v>
      </c>
      <c r="T323" s="101"/>
      <c r="U323" s="257" t="s">
        <v>359</v>
      </c>
      <c r="V323" s="302">
        <v>2920</v>
      </c>
      <c r="W323" s="332">
        <v>43843</v>
      </c>
      <c r="X323" s="174">
        <v>58905000</v>
      </c>
      <c r="Y323" s="174">
        <v>58905000</v>
      </c>
      <c r="Z323" s="352">
        <v>58905000</v>
      </c>
      <c r="AA323" s="352">
        <f>+R323-Y323</f>
        <v>595000</v>
      </c>
      <c r="AB323" s="352">
        <f>+Z323-AA323</f>
        <v>58310000</v>
      </c>
      <c r="AC323" s="352">
        <f>IF(Z323=0,"0",IF(Z323&gt;0,Y323-Z323,))</f>
        <v>0</v>
      </c>
      <c r="AD323" s="352">
        <f>+R323-Y323+AB323</f>
        <v>58905000</v>
      </c>
      <c r="AG323" s="273"/>
      <c r="AH323" s="273"/>
    </row>
    <row r="324" spans="2:34" ht="27.75" customHeight="1" x14ac:dyDescent="0.2">
      <c r="B324" s="682"/>
      <c r="C324" s="683"/>
      <c r="D324" s="683"/>
      <c r="E324" s="683"/>
      <c r="F324" s="683"/>
      <c r="G324" s="683"/>
      <c r="H324" s="683"/>
      <c r="I324" s="683"/>
      <c r="J324" s="683"/>
      <c r="K324" s="99">
        <v>81101500</v>
      </c>
      <c r="L324" s="178" t="s">
        <v>404</v>
      </c>
      <c r="M324" s="247">
        <v>43840</v>
      </c>
      <c r="N324" s="134">
        <v>43871</v>
      </c>
      <c r="O324" s="157" t="s">
        <v>402</v>
      </c>
      <c r="P324" s="157" t="s">
        <v>376</v>
      </c>
      <c r="Q324" s="125"/>
      <c r="R324" s="101">
        <v>50000000</v>
      </c>
      <c r="S324" s="182"/>
      <c r="T324" s="101"/>
      <c r="U324" s="257" t="s">
        <v>359</v>
      </c>
      <c r="V324" s="302">
        <v>3020</v>
      </c>
      <c r="W324" s="332">
        <v>43843</v>
      </c>
      <c r="X324" s="174">
        <v>50000000</v>
      </c>
      <c r="Y324" s="174">
        <v>50000000</v>
      </c>
      <c r="Z324" s="352"/>
      <c r="AA324" s="352">
        <f>+R324-Y324</f>
        <v>0</v>
      </c>
      <c r="AB324" s="352">
        <f>+Z324-AA324</f>
        <v>0</v>
      </c>
      <c r="AC324" s="352" t="str">
        <f>IF(Z324=0,"0",IF(Z324&gt;0,Y324-Z324,))</f>
        <v>0</v>
      </c>
      <c r="AD324" s="352">
        <f>+R324-Y324+AB324</f>
        <v>0</v>
      </c>
      <c r="AG324" s="273"/>
      <c r="AH324" s="273"/>
    </row>
    <row r="325" spans="2:34" ht="15" customHeight="1" x14ac:dyDescent="0.2">
      <c r="B325" s="682"/>
      <c r="C325" s="683"/>
      <c r="D325" s="683"/>
      <c r="E325" s="683"/>
      <c r="F325" s="683"/>
      <c r="G325" s="683"/>
      <c r="H325" s="683"/>
      <c r="I325" s="683"/>
      <c r="J325" s="683"/>
      <c r="K325" s="99">
        <v>90121600</v>
      </c>
      <c r="L325" s="178" t="s">
        <v>351</v>
      </c>
      <c r="M325" s="134">
        <v>43901</v>
      </c>
      <c r="N325" s="134">
        <v>43920</v>
      </c>
      <c r="O325" s="157" t="s">
        <v>324</v>
      </c>
      <c r="P325" s="157" t="s">
        <v>319</v>
      </c>
      <c r="Q325" s="125"/>
      <c r="R325" s="101">
        <v>75000000</v>
      </c>
      <c r="S325" s="182" t="s">
        <v>322</v>
      </c>
      <c r="T325" s="101"/>
      <c r="U325" s="257" t="s">
        <v>270</v>
      </c>
      <c r="V325" s="302"/>
      <c r="W325" s="332"/>
      <c r="X325" s="174"/>
      <c r="Y325" s="174"/>
      <c r="Z325" s="352"/>
      <c r="AA325" s="352"/>
      <c r="AB325" s="352"/>
      <c r="AC325" s="352"/>
      <c r="AD325" s="352"/>
      <c r="AG325" s="273"/>
      <c r="AH325" s="273"/>
    </row>
    <row r="326" spans="2:34" ht="30" customHeight="1" x14ac:dyDescent="0.2">
      <c r="B326" s="682"/>
      <c r="C326" s="683"/>
      <c r="D326" s="683"/>
      <c r="E326" s="683"/>
      <c r="F326" s="683"/>
      <c r="G326" s="683"/>
      <c r="H326" s="683"/>
      <c r="I326" s="683"/>
      <c r="J326" s="683"/>
      <c r="K326" s="99">
        <v>90111500</v>
      </c>
      <c r="L326" s="178" t="s">
        <v>352</v>
      </c>
      <c r="M326" s="178"/>
      <c r="N326" s="134">
        <v>43840</v>
      </c>
      <c r="O326" s="157" t="s">
        <v>324</v>
      </c>
      <c r="P326" s="157"/>
      <c r="Q326" s="125"/>
      <c r="R326" s="101">
        <v>103250000</v>
      </c>
      <c r="S326" s="182" t="s">
        <v>322</v>
      </c>
      <c r="T326" s="101">
        <v>128250000</v>
      </c>
      <c r="U326" s="257" t="s">
        <v>359</v>
      </c>
      <c r="V326" s="671">
        <v>5720</v>
      </c>
      <c r="W326" s="673">
        <v>43847</v>
      </c>
      <c r="X326" s="675">
        <v>206500000</v>
      </c>
      <c r="Y326" s="675">
        <v>206500000</v>
      </c>
      <c r="Z326" s="669"/>
      <c r="AA326" s="669"/>
      <c r="AB326" s="669"/>
      <c r="AC326" s="669"/>
      <c r="AD326" s="669"/>
      <c r="AG326" s="273"/>
      <c r="AH326" s="273"/>
    </row>
    <row r="327" spans="2:34" ht="30" customHeight="1" x14ac:dyDescent="0.2">
      <c r="B327" s="682"/>
      <c r="C327" s="683"/>
      <c r="D327" s="683"/>
      <c r="E327" s="683"/>
      <c r="F327" s="683"/>
      <c r="G327" s="683"/>
      <c r="H327" s="683"/>
      <c r="I327" s="683"/>
      <c r="J327" s="683"/>
      <c r="K327" s="99">
        <v>90101500</v>
      </c>
      <c r="L327" s="178" t="s">
        <v>353</v>
      </c>
      <c r="M327" s="178"/>
      <c r="N327" s="134">
        <v>43840</v>
      </c>
      <c r="O327" s="157" t="s">
        <v>324</v>
      </c>
      <c r="P327" s="157"/>
      <c r="Q327" s="125"/>
      <c r="R327" s="101">
        <v>103250000</v>
      </c>
      <c r="S327" s="182" t="s">
        <v>322</v>
      </c>
      <c r="T327" s="101">
        <v>128250000</v>
      </c>
      <c r="U327" s="257" t="s">
        <v>359</v>
      </c>
      <c r="V327" s="672"/>
      <c r="W327" s="674"/>
      <c r="X327" s="676"/>
      <c r="Y327" s="676"/>
      <c r="Z327" s="670"/>
      <c r="AA327" s="670"/>
      <c r="AB327" s="670"/>
      <c r="AC327" s="670"/>
      <c r="AD327" s="670"/>
      <c r="AG327" s="273"/>
      <c r="AH327" s="273"/>
    </row>
    <row r="328" spans="2:34" ht="30.75" customHeight="1" thickBot="1" x14ac:dyDescent="0.25">
      <c r="B328" s="103" t="s">
        <v>149</v>
      </c>
      <c r="C328" s="104"/>
      <c r="D328" s="104" t="s">
        <v>150</v>
      </c>
      <c r="E328" s="104"/>
      <c r="F328" s="104" t="s">
        <v>151</v>
      </c>
      <c r="G328" s="104"/>
      <c r="H328" s="104" t="s">
        <v>32</v>
      </c>
      <c r="I328" s="104"/>
      <c r="J328" s="211"/>
      <c r="K328" s="13"/>
      <c r="L328" s="15" t="s">
        <v>170</v>
      </c>
      <c r="M328" s="15"/>
      <c r="N328" s="131"/>
      <c r="O328" s="154"/>
      <c r="P328" s="154"/>
      <c r="Q328" s="125">
        <v>9265000000</v>
      </c>
      <c r="R328" s="16">
        <f>+R329</f>
        <v>9265000000</v>
      </c>
      <c r="S328" s="218">
        <f>+Q328-R328</f>
        <v>0</v>
      </c>
      <c r="T328" s="17"/>
      <c r="U328" s="252"/>
      <c r="V328" s="299"/>
      <c r="W328" s="329"/>
      <c r="X328" s="16"/>
      <c r="Y328" s="16"/>
      <c r="Z328" s="353"/>
      <c r="AA328" s="353"/>
      <c r="AB328" s="353"/>
      <c r="AC328" s="353"/>
      <c r="AD328" s="353"/>
      <c r="AG328" s="273"/>
      <c r="AH328" s="273"/>
    </row>
    <row r="329" spans="2:34" ht="15.75" customHeight="1" x14ac:dyDescent="0.25">
      <c r="B329" s="19" t="s">
        <v>7</v>
      </c>
      <c r="C329" s="20" t="s">
        <v>20</v>
      </c>
      <c r="D329" s="20"/>
      <c r="E329" s="20"/>
      <c r="F329" s="20"/>
      <c r="G329" s="20"/>
      <c r="H329" s="20"/>
      <c r="I329" s="20"/>
      <c r="J329" s="192"/>
      <c r="K329" s="219"/>
      <c r="L329" s="220" t="s">
        <v>412</v>
      </c>
      <c r="M329" s="274"/>
      <c r="N329" s="275"/>
      <c r="O329" s="276"/>
      <c r="P329" s="276"/>
      <c r="Q329" s="277"/>
      <c r="R329" s="282">
        <f>SUM(R330:R347)</f>
        <v>9265000000</v>
      </c>
      <c r="S329" s="281"/>
      <c r="T329" s="279"/>
      <c r="U329" s="280"/>
      <c r="V329" s="317"/>
      <c r="W329" s="348"/>
      <c r="X329" s="282"/>
      <c r="Y329" s="282"/>
      <c r="Z329" s="376"/>
      <c r="AA329" s="376"/>
      <c r="AB329" s="376"/>
      <c r="AC329" s="376"/>
      <c r="AD329" s="376"/>
      <c r="AG329" s="273"/>
      <c r="AH329" s="273"/>
    </row>
    <row r="330" spans="2:34" ht="45" customHeight="1" x14ac:dyDescent="0.2">
      <c r="B330" s="677"/>
      <c r="C330" s="678"/>
      <c r="D330" s="678"/>
      <c r="E330" s="678"/>
      <c r="F330" s="678"/>
      <c r="G330" s="678"/>
      <c r="H330" s="678"/>
      <c r="I330" s="678"/>
      <c r="J330" s="678"/>
      <c r="K330" s="177" t="s">
        <v>343</v>
      </c>
      <c r="L330" s="178" t="s">
        <v>405</v>
      </c>
      <c r="M330" s="134">
        <v>43952</v>
      </c>
      <c r="N330" s="134">
        <v>43983</v>
      </c>
      <c r="O330" s="157" t="s">
        <v>326</v>
      </c>
      <c r="P330" s="157" t="s">
        <v>317</v>
      </c>
      <c r="Q330" s="125"/>
      <c r="R330" s="101">
        <v>2865000000</v>
      </c>
      <c r="S330" s="182" t="s">
        <v>322</v>
      </c>
      <c r="T330" s="101">
        <v>5000000000</v>
      </c>
      <c r="U330" s="257" t="s">
        <v>359</v>
      </c>
      <c r="V330" s="302"/>
      <c r="W330" s="332"/>
      <c r="X330" s="174"/>
      <c r="Y330" s="174"/>
      <c r="Z330" s="352"/>
      <c r="AA330" s="352"/>
      <c r="AB330" s="352"/>
      <c r="AC330" s="352"/>
      <c r="AD330" s="352"/>
      <c r="AG330" s="273"/>
      <c r="AH330" s="273"/>
    </row>
    <row r="331" spans="2:34" ht="30" customHeight="1" x14ac:dyDescent="0.2">
      <c r="B331" s="682"/>
      <c r="C331" s="683"/>
      <c r="D331" s="683"/>
      <c r="E331" s="683"/>
      <c r="F331" s="683"/>
      <c r="G331" s="683"/>
      <c r="H331" s="683"/>
      <c r="I331" s="683"/>
      <c r="J331" s="683"/>
      <c r="K331" s="99">
        <v>81101500</v>
      </c>
      <c r="L331" s="178" t="s">
        <v>344</v>
      </c>
      <c r="M331" s="134">
        <v>43952</v>
      </c>
      <c r="N331" s="134">
        <v>43983</v>
      </c>
      <c r="O331" s="157" t="s">
        <v>326</v>
      </c>
      <c r="P331" s="157" t="s">
        <v>376</v>
      </c>
      <c r="Q331" s="125"/>
      <c r="R331" s="101">
        <v>140000000</v>
      </c>
      <c r="S331" s="182" t="s">
        <v>322</v>
      </c>
      <c r="T331" s="101">
        <v>250000000</v>
      </c>
      <c r="U331" s="257" t="s">
        <v>359</v>
      </c>
      <c r="V331" s="302"/>
      <c r="W331" s="332"/>
      <c r="X331" s="174"/>
      <c r="Y331" s="174"/>
      <c r="Z331" s="352"/>
      <c r="AA331" s="352"/>
      <c r="AB331" s="352"/>
      <c r="AC331" s="352"/>
      <c r="AD331" s="352"/>
      <c r="AG331" s="273"/>
      <c r="AH331" s="273"/>
    </row>
    <row r="332" spans="2:34" ht="45" customHeight="1" x14ac:dyDescent="0.2">
      <c r="B332" s="682"/>
      <c r="C332" s="683"/>
      <c r="D332" s="683"/>
      <c r="E332" s="683"/>
      <c r="F332" s="683"/>
      <c r="G332" s="683"/>
      <c r="H332" s="683"/>
      <c r="I332" s="683"/>
      <c r="J332" s="683"/>
      <c r="K332" s="177" t="s">
        <v>343</v>
      </c>
      <c r="L332" s="178" t="s">
        <v>406</v>
      </c>
      <c r="M332" s="134">
        <v>43952</v>
      </c>
      <c r="N332" s="134">
        <v>43983</v>
      </c>
      <c r="O332" s="157" t="s">
        <v>326</v>
      </c>
      <c r="P332" s="157" t="s">
        <v>317</v>
      </c>
      <c r="Q332" s="125"/>
      <c r="R332" s="101">
        <v>1500000000</v>
      </c>
      <c r="S332" s="182" t="s">
        <v>322</v>
      </c>
      <c r="T332" s="101">
        <v>2500000000</v>
      </c>
      <c r="U332" s="257" t="s">
        <v>359</v>
      </c>
      <c r="V332" s="302"/>
      <c r="W332" s="332"/>
      <c r="X332" s="174"/>
      <c r="Y332" s="174"/>
      <c r="Z332" s="352"/>
      <c r="AA332" s="352"/>
      <c r="AB332" s="352"/>
      <c r="AC332" s="352"/>
      <c r="AD332" s="352"/>
      <c r="AG332" s="273"/>
      <c r="AH332" s="273"/>
    </row>
    <row r="333" spans="2:34" ht="30" customHeight="1" x14ac:dyDescent="0.2">
      <c r="B333" s="682"/>
      <c r="C333" s="683"/>
      <c r="D333" s="683"/>
      <c r="E333" s="683"/>
      <c r="F333" s="683"/>
      <c r="G333" s="683"/>
      <c r="H333" s="683"/>
      <c r="I333" s="683"/>
      <c r="J333" s="683"/>
      <c r="K333" s="99">
        <v>81101500</v>
      </c>
      <c r="L333" s="178" t="s">
        <v>345</v>
      </c>
      <c r="M333" s="134">
        <v>43952</v>
      </c>
      <c r="N333" s="134">
        <v>43983</v>
      </c>
      <c r="O333" s="157" t="s">
        <v>326</v>
      </c>
      <c r="P333" s="157" t="s">
        <v>376</v>
      </c>
      <c r="Q333" s="125"/>
      <c r="R333" s="101">
        <v>140000000</v>
      </c>
      <c r="S333" s="182" t="s">
        <v>322</v>
      </c>
      <c r="T333" s="101">
        <v>250000000</v>
      </c>
      <c r="U333" s="257" t="s">
        <v>359</v>
      </c>
      <c r="V333" s="302"/>
      <c r="W333" s="332"/>
      <c r="X333" s="174"/>
      <c r="Y333" s="174"/>
      <c r="Z333" s="352"/>
      <c r="AA333" s="352"/>
      <c r="AB333" s="352"/>
      <c r="AC333" s="352"/>
      <c r="AD333" s="352"/>
      <c r="AG333" s="273"/>
      <c r="AH333" s="273"/>
    </row>
    <row r="334" spans="2:34" ht="45" customHeight="1" x14ac:dyDescent="0.2">
      <c r="B334" s="682"/>
      <c r="C334" s="683"/>
      <c r="D334" s="683"/>
      <c r="E334" s="683"/>
      <c r="F334" s="683"/>
      <c r="G334" s="683"/>
      <c r="H334" s="683"/>
      <c r="I334" s="683"/>
      <c r="J334" s="683"/>
      <c r="K334" s="177" t="s">
        <v>343</v>
      </c>
      <c r="L334" s="178" t="s">
        <v>407</v>
      </c>
      <c r="M334" s="134">
        <v>43952</v>
      </c>
      <c r="N334" s="134">
        <v>43983</v>
      </c>
      <c r="O334" s="157" t="s">
        <v>307</v>
      </c>
      <c r="P334" s="157" t="s">
        <v>317</v>
      </c>
      <c r="Q334" s="125"/>
      <c r="R334" s="101">
        <v>638417004.98000002</v>
      </c>
      <c r="S334" s="182" t="s">
        <v>322</v>
      </c>
      <c r="T334" s="101">
        <v>1050000000</v>
      </c>
      <c r="U334" s="257" t="s">
        <v>359</v>
      </c>
      <c r="V334" s="302"/>
      <c r="W334" s="332"/>
      <c r="X334" s="174"/>
      <c r="Y334" s="174"/>
      <c r="Z334" s="352"/>
      <c r="AA334" s="352"/>
      <c r="AB334" s="352"/>
      <c r="AC334" s="352"/>
      <c r="AD334" s="352"/>
      <c r="AG334" s="273"/>
      <c r="AH334" s="273"/>
    </row>
    <row r="335" spans="2:34" ht="30" customHeight="1" x14ac:dyDescent="0.2">
      <c r="B335" s="682"/>
      <c r="C335" s="683"/>
      <c r="D335" s="683"/>
      <c r="E335" s="683"/>
      <c r="F335" s="683"/>
      <c r="G335" s="683"/>
      <c r="H335" s="683"/>
      <c r="I335" s="683"/>
      <c r="J335" s="683"/>
      <c r="K335" s="99">
        <v>81101500</v>
      </c>
      <c r="L335" s="178" t="s">
        <v>346</v>
      </c>
      <c r="M335" s="134">
        <v>43952</v>
      </c>
      <c r="N335" s="134">
        <v>43983</v>
      </c>
      <c r="O335" s="157" t="s">
        <v>307</v>
      </c>
      <c r="P335" s="157" t="s">
        <v>376</v>
      </c>
      <c r="Q335" s="125"/>
      <c r="R335" s="101">
        <v>52000000</v>
      </c>
      <c r="S335" s="182" t="s">
        <v>322</v>
      </c>
      <c r="T335" s="101">
        <v>84000000</v>
      </c>
      <c r="U335" s="257" t="s">
        <v>359</v>
      </c>
      <c r="V335" s="302"/>
      <c r="W335" s="332"/>
      <c r="X335" s="174"/>
      <c r="Y335" s="174"/>
      <c r="Z335" s="352"/>
      <c r="AA335" s="352"/>
      <c r="AB335" s="352"/>
      <c r="AC335" s="352"/>
      <c r="AD335" s="352"/>
      <c r="AG335" s="273"/>
      <c r="AH335" s="273"/>
    </row>
    <row r="336" spans="2:34" ht="45" customHeight="1" x14ac:dyDescent="0.2">
      <c r="B336" s="682"/>
      <c r="C336" s="683"/>
      <c r="D336" s="683"/>
      <c r="E336" s="683"/>
      <c r="F336" s="683"/>
      <c r="G336" s="683"/>
      <c r="H336" s="683"/>
      <c r="I336" s="683"/>
      <c r="J336" s="683"/>
      <c r="K336" s="177" t="s">
        <v>343</v>
      </c>
      <c r="L336" s="178" t="s">
        <v>408</v>
      </c>
      <c r="M336" s="134">
        <v>43850</v>
      </c>
      <c r="N336" s="134">
        <v>43881</v>
      </c>
      <c r="O336" s="157" t="s">
        <v>307</v>
      </c>
      <c r="P336" s="157" t="s">
        <v>317</v>
      </c>
      <c r="Q336" s="125"/>
      <c r="R336" s="101">
        <v>1412090167.29</v>
      </c>
      <c r="S336" s="182" t="s">
        <v>350</v>
      </c>
      <c r="T336" s="101"/>
      <c r="U336" s="257" t="s">
        <v>359</v>
      </c>
      <c r="V336" s="302"/>
      <c r="W336" s="332"/>
      <c r="X336" s="174"/>
      <c r="Y336" s="174"/>
      <c r="Z336" s="352"/>
      <c r="AA336" s="352"/>
      <c r="AB336" s="352"/>
      <c r="AC336" s="352"/>
      <c r="AD336" s="352"/>
      <c r="AG336" s="273"/>
      <c r="AH336" s="273"/>
    </row>
    <row r="337" spans="2:34" ht="30" customHeight="1" x14ac:dyDescent="0.2">
      <c r="B337" s="682"/>
      <c r="C337" s="683"/>
      <c r="D337" s="683"/>
      <c r="E337" s="683"/>
      <c r="F337" s="683"/>
      <c r="G337" s="683"/>
      <c r="H337" s="683"/>
      <c r="I337" s="683"/>
      <c r="J337" s="683"/>
      <c r="K337" s="99">
        <v>81101500</v>
      </c>
      <c r="L337" s="178" t="s">
        <v>347</v>
      </c>
      <c r="M337" s="134">
        <v>43850</v>
      </c>
      <c r="N337" s="134">
        <v>43881</v>
      </c>
      <c r="O337" s="157" t="s">
        <v>307</v>
      </c>
      <c r="P337" s="157" t="s">
        <v>376</v>
      </c>
      <c r="Q337" s="125"/>
      <c r="R337" s="101">
        <v>130000000</v>
      </c>
      <c r="S337" s="182" t="s">
        <v>350</v>
      </c>
      <c r="T337" s="101"/>
      <c r="U337" s="257" t="s">
        <v>359</v>
      </c>
      <c r="V337" s="302"/>
      <c r="W337" s="332"/>
      <c r="X337" s="174"/>
      <c r="Y337" s="174"/>
      <c r="Z337" s="352"/>
      <c r="AA337" s="352"/>
      <c r="AB337" s="352"/>
      <c r="AC337" s="352"/>
      <c r="AD337" s="352"/>
      <c r="AG337" s="273"/>
      <c r="AH337" s="273"/>
    </row>
    <row r="338" spans="2:34" ht="45" customHeight="1" x14ac:dyDescent="0.2">
      <c r="B338" s="682"/>
      <c r="C338" s="683"/>
      <c r="D338" s="683"/>
      <c r="E338" s="683"/>
      <c r="F338" s="683"/>
      <c r="G338" s="683"/>
      <c r="H338" s="683"/>
      <c r="I338" s="683"/>
      <c r="J338" s="683"/>
      <c r="K338" s="177" t="s">
        <v>343</v>
      </c>
      <c r="L338" s="178" t="s">
        <v>409</v>
      </c>
      <c r="M338" s="134">
        <v>43850</v>
      </c>
      <c r="N338" s="134">
        <v>43881</v>
      </c>
      <c r="O338" s="157" t="s">
        <v>307</v>
      </c>
      <c r="P338" s="157" t="s">
        <v>317</v>
      </c>
      <c r="Q338" s="125"/>
      <c r="R338" s="101">
        <v>1530695327.73</v>
      </c>
      <c r="S338" s="182" t="s">
        <v>350</v>
      </c>
      <c r="T338" s="101"/>
      <c r="U338" s="257" t="s">
        <v>359</v>
      </c>
      <c r="V338" s="302"/>
      <c r="W338" s="332"/>
      <c r="X338" s="174"/>
      <c r="Y338" s="174"/>
      <c r="Z338" s="352"/>
      <c r="AA338" s="352"/>
      <c r="AB338" s="352"/>
      <c r="AC338" s="352"/>
      <c r="AD338" s="352"/>
      <c r="AG338" s="273"/>
      <c r="AH338" s="273"/>
    </row>
    <row r="339" spans="2:34" ht="30" customHeight="1" x14ac:dyDescent="0.2">
      <c r="B339" s="682"/>
      <c r="C339" s="683"/>
      <c r="D339" s="683"/>
      <c r="E339" s="683"/>
      <c r="F339" s="683"/>
      <c r="G339" s="683"/>
      <c r="H339" s="683"/>
      <c r="I339" s="683"/>
      <c r="J339" s="683"/>
      <c r="K339" s="99">
        <v>81101500</v>
      </c>
      <c r="L339" s="178" t="s">
        <v>348</v>
      </c>
      <c r="M339" s="134">
        <v>43850</v>
      </c>
      <c r="N339" s="134">
        <v>43881</v>
      </c>
      <c r="O339" s="157" t="s">
        <v>307</v>
      </c>
      <c r="P339" s="157" t="s">
        <v>376</v>
      </c>
      <c r="Q339" s="125"/>
      <c r="R339" s="101">
        <v>130000000</v>
      </c>
      <c r="S339" s="182" t="s">
        <v>350</v>
      </c>
      <c r="T339" s="101"/>
      <c r="U339" s="257" t="s">
        <v>359</v>
      </c>
      <c r="V339" s="302"/>
      <c r="W339" s="332"/>
      <c r="X339" s="174"/>
      <c r="Y339" s="174"/>
      <c r="Z339" s="352"/>
      <c r="AA339" s="352"/>
      <c r="AB339" s="352"/>
      <c r="AC339" s="352"/>
      <c r="AD339" s="352"/>
      <c r="AG339" s="273"/>
      <c r="AH339" s="273"/>
    </row>
    <row r="340" spans="2:34" ht="45" customHeight="1" x14ac:dyDescent="0.2">
      <c r="B340" s="682"/>
      <c r="C340" s="683"/>
      <c r="D340" s="683"/>
      <c r="E340" s="683"/>
      <c r="F340" s="683"/>
      <c r="G340" s="683"/>
      <c r="H340" s="683"/>
      <c r="I340" s="683"/>
      <c r="J340" s="683"/>
      <c r="K340" s="177" t="s">
        <v>343</v>
      </c>
      <c r="L340" s="178" t="s">
        <v>410</v>
      </c>
      <c r="M340" s="134">
        <v>43850</v>
      </c>
      <c r="N340" s="134">
        <v>43892</v>
      </c>
      <c r="O340" s="157" t="s">
        <v>337</v>
      </c>
      <c r="P340" s="157" t="s">
        <v>319</v>
      </c>
      <c r="Q340" s="125"/>
      <c r="R340" s="101">
        <v>125000000</v>
      </c>
      <c r="S340" s="182" t="s">
        <v>350</v>
      </c>
      <c r="T340" s="101"/>
      <c r="U340" s="257" t="s">
        <v>359</v>
      </c>
      <c r="V340" s="302"/>
      <c r="W340" s="332"/>
      <c r="X340" s="174"/>
      <c r="Y340" s="174"/>
      <c r="Z340" s="352"/>
      <c r="AA340" s="352"/>
      <c r="AB340" s="352"/>
      <c r="AC340" s="352"/>
      <c r="AD340" s="352"/>
      <c r="AG340" s="273"/>
      <c r="AH340" s="273"/>
    </row>
    <row r="341" spans="2:34" ht="30" customHeight="1" x14ac:dyDescent="0.2">
      <c r="B341" s="682"/>
      <c r="C341" s="683"/>
      <c r="D341" s="683"/>
      <c r="E341" s="683"/>
      <c r="F341" s="683"/>
      <c r="G341" s="683"/>
      <c r="H341" s="683"/>
      <c r="I341" s="683"/>
      <c r="J341" s="683"/>
      <c r="K341" s="99">
        <v>81101500</v>
      </c>
      <c r="L341" s="178" t="s">
        <v>349</v>
      </c>
      <c r="M341" s="134">
        <v>43834</v>
      </c>
      <c r="N341" s="134">
        <v>43840</v>
      </c>
      <c r="O341" s="157" t="s">
        <v>324</v>
      </c>
      <c r="P341" s="157" t="s">
        <v>338</v>
      </c>
      <c r="Q341" s="125"/>
      <c r="R341" s="101">
        <v>143797500</v>
      </c>
      <c r="S341" s="182" t="s">
        <v>350</v>
      </c>
      <c r="T341" s="101"/>
      <c r="U341" s="257" t="s">
        <v>359</v>
      </c>
      <c r="V341" s="302" t="s">
        <v>428</v>
      </c>
      <c r="W341" s="332">
        <v>43843</v>
      </c>
      <c r="X341" s="174">
        <v>143797500</v>
      </c>
      <c r="Y341" s="174">
        <v>143797500</v>
      </c>
      <c r="Z341" s="352">
        <f>8715000+47932500+47932500</f>
        <v>104580000</v>
      </c>
      <c r="AA341" s="352">
        <f>+R341-Y341</f>
        <v>0</v>
      </c>
      <c r="AB341" s="352">
        <f>+Z341-AA341</f>
        <v>104580000</v>
      </c>
      <c r="AC341" s="352">
        <f>IF(Z341=0,"0",IF(Z341&gt;0,Y341-Z341,))</f>
        <v>39217500</v>
      </c>
      <c r="AD341" s="352">
        <f>+R341-Y341+AB341</f>
        <v>104580000</v>
      </c>
      <c r="AG341" s="273"/>
      <c r="AH341" s="273"/>
    </row>
    <row r="342" spans="2:34" ht="15" customHeight="1" x14ac:dyDescent="0.2">
      <c r="B342" s="682"/>
      <c r="C342" s="683"/>
      <c r="D342" s="683"/>
      <c r="E342" s="683"/>
      <c r="F342" s="683"/>
      <c r="G342" s="683"/>
      <c r="H342" s="683"/>
      <c r="I342" s="683"/>
      <c r="J342" s="683"/>
      <c r="K342" s="99">
        <v>90121600</v>
      </c>
      <c r="L342" s="100" t="s">
        <v>351</v>
      </c>
      <c r="M342" s="134">
        <v>43901</v>
      </c>
      <c r="N342" s="134">
        <v>43920</v>
      </c>
      <c r="O342" s="157" t="s">
        <v>324</v>
      </c>
      <c r="P342" s="157" t="s">
        <v>319</v>
      </c>
      <c r="Q342" s="125"/>
      <c r="R342" s="101">
        <v>15000000</v>
      </c>
      <c r="S342" s="182" t="s">
        <v>350</v>
      </c>
      <c r="T342" s="101"/>
      <c r="U342" s="257" t="s">
        <v>270</v>
      </c>
      <c r="V342" s="302"/>
      <c r="W342" s="332"/>
      <c r="X342" s="174"/>
      <c r="Y342" s="174"/>
      <c r="Z342" s="352"/>
      <c r="AA342" s="352"/>
      <c r="AB342" s="352"/>
      <c r="AC342" s="352"/>
      <c r="AD342" s="352"/>
      <c r="AG342" s="273"/>
      <c r="AH342" s="273"/>
    </row>
    <row r="343" spans="2:34" ht="30" customHeight="1" x14ac:dyDescent="0.2">
      <c r="B343" s="682"/>
      <c r="C343" s="683"/>
      <c r="D343" s="683"/>
      <c r="E343" s="683"/>
      <c r="F343" s="683"/>
      <c r="G343" s="683"/>
      <c r="H343" s="683"/>
      <c r="I343" s="683"/>
      <c r="J343" s="683"/>
      <c r="K343" s="99">
        <v>90111500</v>
      </c>
      <c r="L343" s="100" t="s">
        <v>352</v>
      </c>
      <c r="M343" s="100"/>
      <c r="N343" s="134">
        <v>43840</v>
      </c>
      <c r="O343" s="157" t="s">
        <v>324</v>
      </c>
      <c r="P343" s="157"/>
      <c r="Q343" s="125"/>
      <c r="R343" s="101">
        <v>5000000</v>
      </c>
      <c r="S343" s="182" t="s">
        <v>350</v>
      </c>
      <c r="T343" s="101"/>
      <c r="U343" s="257" t="s">
        <v>359</v>
      </c>
      <c r="V343" s="302">
        <v>5720</v>
      </c>
      <c r="W343" s="332">
        <v>43847</v>
      </c>
      <c r="X343" s="174">
        <v>10000000</v>
      </c>
      <c r="Y343" s="174">
        <v>10000000</v>
      </c>
      <c r="Z343" s="352"/>
      <c r="AA343" s="352">
        <f>+R343-Y343</f>
        <v>-5000000</v>
      </c>
      <c r="AB343" s="352">
        <f>+Z343-AA343</f>
        <v>5000000</v>
      </c>
      <c r="AC343" s="352" t="str">
        <f>IF(Z343=0,"0",IF(Z343&gt;0,Y343-Z343,))</f>
        <v>0</v>
      </c>
      <c r="AD343" s="352">
        <f>+R343-Y343+AB343</f>
        <v>0</v>
      </c>
      <c r="AG343" s="273"/>
      <c r="AH343" s="273"/>
    </row>
    <row r="344" spans="2:34" ht="30" customHeight="1" x14ac:dyDescent="0.2">
      <c r="B344" s="682"/>
      <c r="C344" s="683"/>
      <c r="D344" s="683"/>
      <c r="E344" s="683"/>
      <c r="F344" s="683"/>
      <c r="G344" s="683"/>
      <c r="H344" s="683"/>
      <c r="I344" s="683"/>
      <c r="J344" s="683"/>
      <c r="K344" s="99">
        <v>90101500</v>
      </c>
      <c r="L344" s="100" t="s">
        <v>353</v>
      </c>
      <c r="M344" s="100"/>
      <c r="N344" s="134">
        <v>43840</v>
      </c>
      <c r="O344" s="157" t="s">
        <v>324</v>
      </c>
      <c r="P344" s="157"/>
      <c r="Q344" s="125"/>
      <c r="R344" s="101">
        <v>5000000</v>
      </c>
      <c r="S344" s="182" t="s">
        <v>350</v>
      </c>
      <c r="T344" s="101"/>
      <c r="U344" s="257" t="s">
        <v>359</v>
      </c>
      <c r="V344" s="302"/>
      <c r="W344" s="332"/>
      <c r="X344" s="174"/>
      <c r="Y344" s="174"/>
      <c r="Z344" s="352"/>
      <c r="AA344" s="352"/>
      <c r="AB344" s="352"/>
      <c r="AC344" s="352"/>
      <c r="AD344" s="352"/>
      <c r="AG344" s="273"/>
      <c r="AH344" s="273"/>
    </row>
    <row r="345" spans="2:34" ht="15" customHeight="1" x14ac:dyDescent="0.2">
      <c r="B345" s="682"/>
      <c r="C345" s="683"/>
      <c r="D345" s="683"/>
      <c r="E345" s="683"/>
      <c r="F345" s="683"/>
      <c r="G345" s="683"/>
      <c r="H345" s="683"/>
      <c r="I345" s="683"/>
      <c r="J345" s="683"/>
      <c r="K345" s="113"/>
      <c r="L345" s="114" t="s">
        <v>354</v>
      </c>
      <c r="M345" s="114"/>
      <c r="N345" s="137"/>
      <c r="O345" s="160"/>
      <c r="P345" s="160"/>
      <c r="Q345" s="125"/>
      <c r="R345" s="115">
        <v>33000000</v>
      </c>
      <c r="S345" s="187" t="s">
        <v>350</v>
      </c>
      <c r="T345" s="115"/>
      <c r="U345" s="256" t="s">
        <v>355</v>
      </c>
      <c r="V345" s="302"/>
      <c r="W345" s="332"/>
      <c r="X345" s="174"/>
      <c r="Y345" s="174"/>
      <c r="Z345" s="352"/>
      <c r="AA345" s="352"/>
      <c r="AB345" s="352"/>
      <c r="AC345" s="352"/>
      <c r="AD345" s="352"/>
      <c r="AG345" s="273"/>
      <c r="AH345" s="273"/>
    </row>
    <row r="346" spans="2:34" ht="60.75" customHeight="1" thickBot="1" x14ac:dyDescent="0.25">
      <c r="B346" s="685"/>
      <c r="C346" s="686"/>
      <c r="D346" s="686"/>
      <c r="E346" s="686"/>
      <c r="F346" s="686"/>
      <c r="G346" s="686"/>
      <c r="H346" s="686"/>
      <c r="I346" s="686"/>
      <c r="J346" s="686"/>
      <c r="K346" s="225" t="s">
        <v>341</v>
      </c>
      <c r="L346" s="105" t="s">
        <v>220</v>
      </c>
      <c r="M346" s="134">
        <v>43525</v>
      </c>
      <c r="N346" s="150">
        <v>43952</v>
      </c>
      <c r="O346" s="173" t="s">
        <v>342</v>
      </c>
      <c r="P346" s="173" t="s">
        <v>317</v>
      </c>
      <c r="Q346" s="126"/>
      <c r="R346" s="106">
        <v>365000000</v>
      </c>
      <c r="S346" s="188" t="s">
        <v>386</v>
      </c>
      <c r="T346" s="106"/>
      <c r="U346" s="271" t="s">
        <v>221</v>
      </c>
      <c r="V346" s="318"/>
      <c r="W346" s="349"/>
      <c r="X346" s="175"/>
      <c r="Y346" s="175"/>
      <c r="Z346" s="377"/>
      <c r="AA346" s="377"/>
      <c r="AB346" s="377"/>
      <c r="AC346" s="377"/>
      <c r="AD346" s="377"/>
      <c r="AG346" s="273"/>
      <c r="AH346" s="273"/>
    </row>
    <row r="347" spans="2:34" ht="30.75" customHeight="1" thickBot="1" x14ac:dyDescent="0.25">
      <c r="B347" s="283"/>
      <c r="C347" s="283"/>
      <c r="D347" s="283"/>
      <c r="E347" s="283"/>
      <c r="F347" s="283"/>
      <c r="G347" s="283"/>
      <c r="H347" s="283"/>
      <c r="I347" s="283"/>
      <c r="J347" s="283"/>
      <c r="K347" s="99">
        <v>81101500</v>
      </c>
      <c r="L347" s="178" t="s">
        <v>415</v>
      </c>
      <c r="M347" s="134">
        <v>43525</v>
      </c>
      <c r="N347" s="150">
        <v>43952</v>
      </c>
      <c r="O347" s="173" t="s">
        <v>342</v>
      </c>
      <c r="P347" s="173" t="s">
        <v>376</v>
      </c>
      <c r="Q347" s="173"/>
      <c r="R347" s="173">
        <v>35000000</v>
      </c>
      <c r="S347" s="173" t="s">
        <v>350</v>
      </c>
      <c r="T347" s="173"/>
      <c r="U347" s="379" t="s">
        <v>221</v>
      </c>
      <c r="V347" s="319"/>
      <c r="W347" s="350"/>
      <c r="X347" s="294"/>
      <c r="Y347" s="294"/>
      <c r="Z347" s="294"/>
      <c r="AA347" s="294"/>
      <c r="AB347" s="294"/>
      <c r="AC347" s="294"/>
      <c r="AD347" s="294"/>
      <c r="AG347" s="273"/>
      <c r="AH347" s="273"/>
    </row>
    <row r="348" spans="2:34" ht="15" customHeight="1" x14ac:dyDescent="0.2"/>
    <row r="349" spans="2:34" ht="15" customHeight="1" x14ac:dyDescent="0.2"/>
    <row r="350" spans="2:34" ht="15" customHeight="1" x14ac:dyDescent="0.2"/>
    <row r="351" spans="2:34" ht="15" customHeight="1" x14ac:dyDescent="0.2">
      <c r="R351" s="1">
        <f>+R148/11</f>
        <v>4600000</v>
      </c>
      <c r="S351" s="3">
        <f>R351*4%</f>
        <v>184000</v>
      </c>
    </row>
    <row r="352" spans="2:34" ht="15" customHeight="1" x14ac:dyDescent="0.2">
      <c r="R352" s="1">
        <v>4000000</v>
      </c>
      <c r="S352" s="246">
        <f>R352*4%</f>
        <v>160000</v>
      </c>
    </row>
    <row r="353" spans="2:29" ht="15" customHeight="1" x14ac:dyDescent="0.2">
      <c r="R353" s="1">
        <v>4400000</v>
      </c>
      <c r="S353" s="246">
        <f>R353*4%</f>
        <v>176000</v>
      </c>
    </row>
    <row r="354" spans="2:29" ht="15" customHeight="1" x14ac:dyDescent="0.2">
      <c r="B354" s="684"/>
      <c r="C354" s="684"/>
      <c r="D354" s="684"/>
      <c r="E354" s="684"/>
      <c r="F354" s="684"/>
      <c r="G354" s="684"/>
      <c r="H354" s="684"/>
      <c r="I354" s="684"/>
      <c r="J354" s="684"/>
      <c r="K354" s="684"/>
    </row>
    <row r="359" spans="2:29" x14ac:dyDescent="0.2">
      <c r="AA359" s="386"/>
    </row>
    <row r="361" spans="2:29" x14ac:dyDescent="0.2">
      <c r="AA361" s="273"/>
      <c r="AC361" s="386"/>
    </row>
  </sheetData>
  <autoFilter ref="B6:AH354"/>
  <mergeCells count="113">
    <mergeCell ref="AB42:AB44"/>
    <mergeCell ref="AC42:AC44"/>
    <mergeCell ref="AD42:AD44"/>
    <mergeCell ref="AA18:AA23"/>
    <mergeCell ref="AB18:AB23"/>
    <mergeCell ref="AC18:AC23"/>
    <mergeCell ref="AD18:AD23"/>
    <mergeCell ref="V130:V132"/>
    <mergeCell ref="W130:W132"/>
    <mergeCell ref="X130:X132"/>
    <mergeCell ref="Y130:Y132"/>
    <mergeCell ref="Z130:Z132"/>
    <mergeCell ref="AA130:AA132"/>
    <mergeCell ref="AB130:AB132"/>
    <mergeCell ref="AC130:AC132"/>
    <mergeCell ref="AD130:AD132"/>
    <mergeCell ref="V18:V23"/>
    <mergeCell ref="W18:W23"/>
    <mergeCell ref="X18:X23"/>
    <mergeCell ref="Y18:Y23"/>
    <mergeCell ref="Z18:Z23"/>
    <mergeCell ref="X42:X44"/>
    <mergeCell ref="V42:V44"/>
    <mergeCell ref="W42:W44"/>
    <mergeCell ref="Y42:Y44"/>
    <mergeCell ref="Z42:Z44"/>
    <mergeCell ref="AA42:AA44"/>
    <mergeCell ref="B99:J101"/>
    <mergeCell ref="B107:J107"/>
    <mergeCell ref="B205:J205"/>
    <mergeCell ref="B112:J112"/>
    <mergeCell ref="B123:J124"/>
    <mergeCell ref="B115:J117"/>
    <mergeCell ref="B119:J120"/>
    <mergeCell ref="B64:J64"/>
    <mergeCell ref="B72:J72"/>
    <mergeCell ref="B62:J62"/>
    <mergeCell ref="B96:J96"/>
    <mergeCell ref="B92:J93"/>
    <mergeCell ref="B77:J77"/>
    <mergeCell ref="B79:J79"/>
    <mergeCell ref="B84:J84"/>
    <mergeCell ref="B81:J81"/>
    <mergeCell ref="B75:J75"/>
    <mergeCell ref="B67:J67"/>
    <mergeCell ref="B70:J70"/>
    <mergeCell ref="B354:K354"/>
    <mergeCell ref="B144:J151"/>
    <mergeCell ref="B153:J153"/>
    <mergeCell ref="B155:J165"/>
    <mergeCell ref="B167:J167"/>
    <mergeCell ref="B169:J169"/>
    <mergeCell ref="B176:J177"/>
    <mergeCell ref="B181:J181"/>
    <mergeCell ref="B183:J188"/>
    <mergeCell ref="B190:J190"/>
    <mergeCell ref="B202:J202"/>
    <mergeCell ref="B277:J277"/>
    <mergeCell ref="B330:J346"/>
    <mergeCell ref="B291:J291"/>
    <mergeCell ref="B294:J294"/>
    <mergeCell ref="B296:J296"/>
    <mergeCell ref="B299:J299"/>
    <mergeCell ref="B301:J301"/>
    <mergeCell ref="B306:J306"/>
    <mergeCell ref="B308:J308"/>
    <mergeCell ref="B310:J310"/>
    <mergeCell ref="B321:J327"/>
    <mergeCell ref="B313:J313"/>
    <mergeCell ref="B315:J315"/>
    <mergeCell ref="B15:J15"/>
    <mergeCell ref="B29:J30"/>
    <mergeCell ref="B55:J56"/>
    <mergeCell ref="B58:J59"/>
    <mergeCell ref="B36:J36"/>
    <mergeCell ref="B39:J39"/>
    <mergeCell ref="B42:J42"/>
    <mergeCell ref="B44:J44"/>
    <mergeCell ref="B46:J48"/>
    <mergeCell ref="B50:J51"/>
    <mergeCell ref="B287:J287"/>
    <mergeCell ref="B225:J225"/>
    <mergeCell ref="B130:J130"/>
    <mergeCell ref="B132:J132"/>
    <mergeCell ref="B87:J89"/>
    <mergeCell ref="B104:J105"/>
    <mergeCell ref="B136:J137"/>
    <mergeCell ref="B194:J199"/>
    <mergeCell ref="B235:J235"/>
    <mergeCell ref="B228:J228"/>
    <mergeCell ref="B231:J232"/>
    <mergeCell ref="B238:J238"/>
    <mergeCell ref="B243:J252"/>
    <mergeCell ref="B254:J256"/>
    <mergeCell ref="B258:J259"/>
    <mergeCell ref="B273:J273"/>
    <mergeCell ref="B281:J281"/>
    <mergeCell ref="B218:J218"/>
    <mergeCell ref="B268:J268"/>
    <mergeCell ref="B222:J222"/>
    <mergeCell ref="B209:J209"/>
    <mergeCell ref="B211:J211"/>
    <mergeCell ref="B172:J174"/>
    <mergeCell ref="B139:J140"/>
    <mergeCell ref="AA326:AA327"/>
    <mergeCell ref="AB326:AB327"/>
    <mergeCell ref="AC326:AC327"/>
    <mergeCell ref="AD326:AD327"/>
    <mergeCell ref="V326:V327"/>
    <mergeCell ref="W326:W327"/>
    <mergeCell ref="X326:X327"/>
    <mergeCell ref="Y326:Y327"/>
    <mergeCell ref="Z326:Z327"/>
  </mergeCells>
  <pageMargins left="0.7" right="0.7" top="0.75" bottom="0.75" header="0.3" footer="0.3"/>
  <pageSetup scale="19" fitToHeight="0" orientation="landscape" r:id="rId1"/>
  <ignoredErrors>
    <ignoredError sqref="Q215:R218 Q114:R114 R176:R177 Q147:Q151 R135 R25:R27 Q97:Q101 Q134 R138 Q144 R171:R174 Q233:R233 Q228 R230 Q231 Q235 Q252:R252 Q243:Q251 Q270:R271 Q256:Q259 Q275 Q279:R279 Q285:R286 Q288:R290 Q287 Q296 R140 Q340:Q346 Q330:Q332 R71 R74 R78 R80 Q108:R111 R154 Q203:R204 Q292:R293 Q318:Q319 Q190:R190 R76 Q301 R38 R50:R51 R41 R53:R54 R57 R59:R63 R65:R66 R82:R86 R94:R98 Q102:R106 Q117:R122 Q127:R127 Q126 Q129:R131 Q128 Q242:R242 Q136:Q140 Q152:R152 Q166:Q169 R166:R168 R143 Q172:Q177 R181 Q183:R186 Q179:Q182 Q189 Q192:R193 Q206:R208 Q210:R213 Q223:R224 Q254:R255 Q295:R295 Q298:R300 Q294 Q306:R306 Q308:R308 Q310:R310 Q313:R313 Q317:R317 Q315 Q305 Q307 Q309 Q238 Q154:Q163 Q196:R201 R236:R237 Q272:Q273 Q240:Q241 Q280:Q281 Q277:Q278 Q253 Q269 R234 Q205 R91 Q123:Q124 Q321:Q323 Q325:Q328 Q226:R227 Q225 Q316 R43 R68" emptyCellReferenc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>
    <pageSetUpPr fitToPage="1"/>
  </sheetPr>
  <dimension ref="A1:BV662"/>
  <sheetViews>
    <sheetView tabSelected="1" topLeftCell="B2" zoomScale="60" zoomScaleNormal="60" workbookViewId="0">
      <pane xSplit="11" ySplit="5" topLeftCell="U226" activePane="bottomRight" state="frozen"/>
      <selection activeCell="B6" sqref="B6"/>
      <selection pane="topRight" activeCell="M6" sqref="M6"/>
      <selection pane="bottomLeft" activeCell="B7" sqref="B7"/>
      <selection pane="bottomRight" activeCell="AP226" sqref="AP226"/>
    </sheetView>
  </sheetViews>
  <sheetFormatPr baseColWidth="10" defaultColWidth="11.5703125" defaultRowHeight="15" x14ac:dyDescent="0.2"/>
  <cols>
    <col min="1" max="1" width="3.85546875" style="1" customWidth="1"/>
    <col min="2" max="2" width="8.28515625" style="385" customWidth="1"/>
    <col min="3" max="3" width="12.5703125" style="385" customWidth="1"/>
    <col min="4" max="4" width="13.140625" style="385" customWidth="1"/>
    <col min="5" max="5" width="10.7109375" style="385" customWidth="1"/>
    <col min="6" max="6" width="10" style="385" customWidth="1"/>
    <col min="7" max="7" width="9.7109375" style="385" customWidth="1"/>
    <col min="8" max="8" width="8.5703125" style="385" customWidth="1"/>
    <col min="9" max="9" width="10.28515625" style="385" customWidth="1"/>
    <col min="10" max="10" width="8.7109375" style="385" customWidth="1"/>
    <col min="11" max="11" width="17.7109375" style="385" customWidth="1"/>
    <col min="12" max="12" width="63.140625" style="2" customWidth="1"/>
    <col min="13" max="13" width="18.85546875" style="2" customWidth="1"/>
    <col min="14" max="14" width="16.42578125" style="128" customWidth="1"/>
    <col min="15" max="15" width="15.5703125" style="151" customWidth="1"/>
    <col min="16" max="16" width="22.5703125" style="151" customWidth="1"/>
    <col min="17" max="17" width="26.85546875" style="1" hidden="1" customWidth="1"/>
    <col min="18" max="18" width="32.5703125" style="1" customWidth="1"/>
    <col min="19" max="19" width="14.28515625" style="385" hidden="1" customWidth="1"/>
    <col min="20" max="20" width="27.5703125" style="1" customWidth="1"/>
    <col min="21" max="21" width="35.140625" style="107" customWidth="1"/>
    <col min="22" max="32" width="24.7109375" style="1" hidden="1" customWidth="1"/>
    <col min="33" max="33" width="24.7109375" style="440" hidden="1" customWidth="1"/>
    <col min="34" max="34" width="26.85546875" style="1" hidden="1" customWidth="1"/>
    <col min="35" max="35" width="26" style="440" customWidth="1"/>
    <col min="36" max="36" width="21.5703125" style="440" customWidth="1"/>
    <col min="37" max="37" width="21.85546875" style="527" customWidth="1"/>
    <col min="38" max="38" width="22" style="527" customWidth="1"/>
    <col min="39" max="39" width="26.140625" style="527" customWidth="1"/>
    <col min="40" max="40" width="23.28515625" style="527" customWidth="1"/>
    <col min="41" max="41" width="23.42578125" style="527" customWidth="1"/>
    <col min="42" max="42" width="21.85546875" style="527" customWidth="1"/>
    <col min="43" max="43" width="52.28515625" style="1" bestFit="1" customWidth="1"/>
    <col min="44" max="44" width="31.42578125" style="1" customWidth="1"/>
    <col min="45" max="45" width="24.42578125" style="1" customWidth="1"/>
    <col min="46" max="46" width="14" style="1" customWidth="1"/>
    <col min="47" max="49" width="11.5703125" style="1"/>
    <col min="50" max="50" width="15.5703125" style="1" bestFit="1" customWidth="1"/>
    <col min="51" max="16384" width="11.5703125" style="1"/>
  </cols>
  <sheetData>
    <row r="1" spans="2:74" ht="15.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40"/>
    </row>
    <row r="2" spans="2:74" ht="15.75" x14ac:dyDescent="0.25">
      <c r="B2" s="18" t="s">
        <v>475</v>
      </c>
      <c r="C2" s="1"/>
      <c r="D2" s="1"/>
      <c r="E2" s="1"/>
      <c r="F2" s="1"/>
      <c r="G2" s="1"/>
      <c r="H2" s="1"/>
      <c r="I2" s="1"/>
      <c r="J2" s="1"/>
      <c r="K2" s="1"/>
      <c r="L2" s="1"/>
      <c r="M2" s="440"/>
    </row>
    <row r="3" spans="2:74" ht="15.6" customHeight="1" x14ac:dyDescent="0.25">
      <c r="B3" s="18"/>
      <c r="C3" s="1"/>
      <c r="D3" s="1"/>
      <c r="E3" s="1"/>
      <c r="F3" s="1"/>
      <c r="G3" s="1"/>
      <c r="H3" s="1"/>
      <c r="I3" s="1"/>
      <c r="J3" s="1"/>
      <c r="K3" s="1"/>
      <c r="L3" s="1"/>
      <c r="M3" s="440"/>
    </row>
    <row r="4" spans="2:74" ht="15.75" x14ac:dyDescent="0.25">
      <c r="B4" s="18" t="s">
        <v>168</v>
      </c>
      <c r="C4" s="1"/>
      <c r="D4" s="1"/>
      <c r="E4" s="1"/>
      <c r="F4" s="1"/>
      <c r="G4" s="1"/>
      <c r="H4" s="1"/>
      <c r="I4" s="1"/>
      <c r="J4" s="1"/>
      <c r="K4" s="1"/>
      <c r="L4" s="1"/>
      <c r="M4" s="440"/>
      <c r="AR4" s="285"/>
      <c r="AS4" s="285"/>
      <c r="AT4" s="285"/>
      <c r="AU4" s="285"/>
      <c r="AV4" s="285"/>
      <c r="AW4" s="285"/>
      <c r="AX4" s="285"/>
      <c r="AY4" s="285"/>
      <c r="AZ4" s="285"/>
      <c r="BA4" s="285"/>
      <c r="BB4" s="285"/>
      <c r="BC4" s="285"/>
      <c r="BD4" s="285"/>
      <c r="BE4" s="285"/>
      <c r="BF4" s="285"/>
      <c r="BG4" s="285"/>
      <c r="BH4" s="285"/>
      <c r="BI4" s="285"/>
      <c r="BJ4" s="285"/>
      <c r="BK4" s="285"/>
      <c r="BL4" s="285"/>
      <c r="BM4" s="285"/>
      <c r="BN4" s="285"/>
      <c r="BO4" s="285"/>
      <c r="BP4" s="285"/>
      <c r="BQ4" s="285"/>
      <c r="BR4" s="285"/>
      <c r="BS4" s="285"/>
      <c r="BT4" s="285"/>
      <c r="BU4" s="285"/>
      <c r="BV4" s="285"/>
    </row>
    <row r="5" spans="2:74" ht="15.75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440"/>
      <c r="AR5" s="285"/>
      <c r="AS5" s="285"/>
      <c r="AT5" s="285"/>
      <c r="AU5" s="285"/>
      <c r="AV5" s="285"/>
      <c r="AW5" s="285"/>
      <c r="AX5" s="285"/>
      <c r="AY5" s="285"/>
      <c r="AZ5" s="285"/>
      <c r="BA5" s="285"/>
      <c r="BB5" s="285"/>
      <c r="BC5" s="285"/>
      <c r="BD5" s="285"/>
      <c r="BE5" s="285"/>
      <c r="BF5" s="285"/>
      <c r="BG5" s="285"/>
      <c r="BH5" s="285"/>
      <c r="BI5" s="285"/>
      <c r="BJ5" s="285"/>
      <c r="BK5" s="285"/>
      <c r="BL5" s="285"/>
      <c r="BM5" s="285"/>
      <c r="BN5" s="285"/>
      <c r="BO5" s="285"/>
      <c r="BP5" s="285"/>
      <c r="BQ5" s="285"/>
      <c r="BR5" s="285"/>
      <c r="BS5" s="285"/>
      <c r="BT5" s="285"/>
      <c r="BU5" s="285"/>
      <c r="BV5" s="285"/>
    </row>
    <row r="6" spans="2:74" ht="97.5" customHeight="1" thickBot="1" x14ac:dyDescent="0.25">
      <c r="B6" s="96" t="s">
        <v>134</v>
      </c>
      <c r="C6" s="97" t="s">
        <v>0</v>
      </c>
      <c r="D6" s="97" t="s">
        <v>1</v>
      </c>
      <c r="E6" s="97" t="s">
        <v>2</v>
      </c>
      <c r="F6" s="97" t="s">
        <v>3</v>
      </c>
      <c r="G6" s="97" t="s">
        <v>4</v>
      </c>
      <c r="H6" s="97" t="s">
        <v>5</v>
      </c>
      <c r="I6" s="97" t="s">
        <v>6</v>
      </c>
      <c r="J6" s="98" t="s">
        <v>135</v>
      </c>
      <c r="K6" s="213" t="s">
        <v>163</v>
      </c>
      <c r="L6" s="214" t="s">
        <v>164</v>
      </c>
      <c r="M6" s="214" t="s">
        <v>583</v>
      </c>
      <c r="N6" s="215" t="s">
        <v>571</v>
      </c>
      <c r="O6" s="214" t="s">
        <v>161</v>
      </c>
      <c r="P6" s="214" t="s">
        <v>162</v>
      </c>
      <c r="Q6" s="436" t="s">
        <v>462</v>
      </c>
      <c r="R6" s="214" t="s">
        <v>477</v>
      </c>
      <c r="S6" s="214" t="s">
        <v>476</v>
      </c>
      <c r="T6" s="214" t="s">
        <v>610</v>
      </c>
      <c r="U6" s="217" t="s">
        <v>166</v>
      </c>
      <c r="V6" s="437">
        <v>44197</v>
      </c>
      <c r="W6" s="437">
        <v>44228</v>
      </c>
      <c r="X6" s="437">
        <v>44256</v>
      </c>
      <c r="Y6" s="437">
        <v>44287</v>
      </c>
      <c r="Z6" s="437">
        <v>44317</v>
      </c>
      <c r="AA6" s="437">
        <v>44348</v>
      </c>
      <c r="AB6" s="437">
        <v>44378</v>
      </c>
      <c r="AC6" s="437">
        <v>44409</v>
      </c>
      <c r="AD6" s="437">
        <v>44440</v>
      </c>
      <c r="AE6" s="437">
        <v>44470</v>
      </c>
      <c r="AF6" s="437">
        <v>44501</v>
      </c>
      <c r="AG6" s="437">
        <v>44531</v>
      </c>
      <c r="AH6" s="437" t="s">
        <v>570</v>
      </c>
      <c r="AI6" s="320" t="s">
        <v>416</v>
      </c>
      <c r="AJ6" s="321" t="s">
        <v>417</v>
      </c>
      <c r="AK6" s="528" t="s">
        <v>418</v>
      </c>
      <c r="AL6" s="528" t="s">
        <v>419</v>
      </c>
      <c r="AM6" s="529" t="s">
        <v>420</v>
      </c>
      <c r="AN6" s="529" t="s">
        <v>421</v>
      </c>
      <c r="AO6" s="529" t="s">
        <v>422</v>
      </c>
      <c r="AP6" s="529" t="s">
        <v>424</v>
      </c>
      <c r="AR6" s="285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5"/>
      <c r="BE6" s="285"/>
      <c r="BF6" s="285"/>
      <c r="BG6" s="285"/>
      <c r="BH6" s="285"/>
      <c r="BI6" s="285"/>
      <c r="BJ6" s="285"/>
      <c r="BK6" s="285"/>
      <c r="BL6" s="285"/>
      <c r="BM6" s="285"/>
      <c r="BN6" s="285"/>
      <c r="BO6" s="285"/>
      <c r="BP6" s="285"/>
      <c r="BQ6" s="285"/>
      <c r="BR6" s="285"/>
      <c r="BS6" s="285"/>
      <c r="BT6" s="285"/>
      <c r="BU6" s="285"/>
      <c r="BV6" s="285"/>
    </row>
    <row r="7" spans="2:74" ht="15.75" customHeight="1" x14ac:dyDescent="0.2">
      <c r="B7" s="19" t="s">
        <v>7</v>
      </c>
      <c r="C7" s="20" t="s">
        <v>20</v>
      </c>
      <c r="D7" s="20"/>
      <c r="E7" s="20"/>
      <c r="F7" s="20"/>
      <c r="G7" s="20"/>
      <c r="H7" s="20"/>
      <c r="I7" s="20"/>
      <c r="J7" s="192"/>
      <c r="K7" s="219"/>
      <c r="L7" s="408" t="s">
        <v>412</v>
      </c>
      <c r="M7" s="221"/>
      <c r="N7" s="221"/>
      <c r="O7" s="222"/>
      <c r="P7" s="222"/>
      <c r="Q7" s="432">
        <f>+Q8+Q29</f>
        <v>5173000000</v>
      </c>
      <c r="R7" s="191">
        <f>+R8+R29</f>
        <v>5173000000</v>
      </c>
      <c r="S7" s="227"/>
      <c r="T7" s="224"/>
      <c r="U7" s="471">
        <f>+Q7-R7</f>
        <v>0</v>
      </c>
      <c r="V7" s="495">
        <f t="shared" ref="V7:AG7" si="0">+V8+V29</f>
        <v>83695142.857142866</v>
      </c>
      <c r="W7" s="495">
        <f t="shared" si="0"/>
        <v>118558142.85714287</v>
      </c>
      <c r="X7" s="496">
        <f t="shared" si="0"/>
        <v>244638142.85714287</v>
      </c>
      <c r="Y7" s="496">
        <f t="shared" si="0"/>
        <v>2205618142.8571429</v>
      </c>
      <c r="Z7" s="496">
        <f t="shared" si="0"/>
        <v>324348142.85714287</v>
      </c>
      <c r="AA7" s="496">
        <f t="shared" si="0"/>
        <v>189199442.85714287</v>
      </c>
      <c r="AB7" s="496">
        <f t="shared" si="0"/>
        <v>542042142.85714293</v>
      </c>
      <c r="AC7" s="496">
        <f t="shared" si="0"/>
        <v>379723000</v>
      </c>
      <c r="AD7" s="496">
        <f t="shared" si="0"/>
        <v>233454300</v>
      </c>
      <c r="AE7" s="496">
        <f t="shared" si="0"/>
        <v>185453000</v>
      </c>
      <c r="AF7" s="496">
        <f t="shared" si="0"/>
        <v>504670461</v>
      </c>
      <c r="AG7" s="496">
        <f t="shared" si="0"/>
        <v>175107400</v>
      </c>
      <c r="AH7" s="500">
        <f>SUM(V7:AG7)</f>
        <v>5186507461</v>
      </c>
      <c r="AI7" s="535"/>
      <c r="AJ7" s="535"/>
      <c r="AK7" s="536"/>
      <c r="AL7" s="536"/>
      <c r="AM7" s="536"/>
      <c r="AR7" s="285"/>
      <c r="AS7" s="285"/>
      <c r="AT7" s="285"/>
      <c r="AU7" s="285"/>
      <c r="AV7" s="285"/>
      <c r="AW7" s="285"/>
      <c r="AX7" s="285"/>
      <c r="AY7" s="285"/>
      <c r="AZ7" s="285"/>
      <c r="BA7" s="285"/>
      <c r="BB7" s="285"/>
      <c r="BC7" s="285"/>
      <c r="BD7" s="285"/>
      <c r="BE7" s="285"/>
      <c r="BF7" s="285"/>
      <c r="BG7" s="285"/>
      <c r="BH7" s="285"/>
      <c r="BI7" s="285"/>
      <c r="BJ7" s="285"/>
      <c r="BK7" s="285"/>
      <c r="BL7" s="285"/>
      <c r="BM7" s="285"/>
      <c r="BN7" s="285"/>
      <c r="BO7" s="285"/>
      <c r="BP7" s="285"/>
      <c r="BQ7" s="285"/>
      <c r="BR7" s="285"/>
      <c r="BS7" s="285"/>
      <c r="BT7" s="285"/>
      <c r="BU7" s="285"/>
      <c r="BV7" s="285"/>
    </row>
    <row r="8" spans="2:74" s="18" customFormat="1" ht="15.75" customHeight="1" x14ac:dyDescent="0.25">
      <c r="B8" s="26" t="s">
        <v>7</v>
      </c>
      <c r="C8" s="27" t="s">
        <v>20</v>
      </c>
      <c r="D8" s="27" t="s">
        <v>8</v>
      </c>
      <c r="E8" s="27"/>
      <c r="F8" s="27"/>
      <c r="G8" s="27"/>
      <c r="H8" s="27"/>
      <c r="I8" s="27"/>
      <c r="J8" s="193"/>
      <c r="K8" s="26"/>
      <c r="L8" s="409" t="s">
        <v>25</v>
      </c>
      <c r="M8" s="129"/>
      <c r="N8" s="129"/>
      <c r="O8" s="152"/>
      <c r="P8" s="152"/>
      <c r="Q8" s="433">
        <f>+Q9</f>
        <v>386000000</v>
      </c>
      <c r="R8" s="29">
        <f>+R9</f>
        <v>386000000</v>
      </c>
      <c r="S8" s="242"/>
      <c r="T8" s="243"/>
      <c r="U8" s="470">
        <f>+Q8-R8</f>
        <v>0</v>
      </c>
      <c r="V8" s="495">
        <f>+V9</f>
        <v>0</v>
      </c>
      <c r="W8" s="495">
        <f t="shared" ref="W8:AG8" si="1">+W9</f>
        <v>0</v>
      </c>
      <c r="X8" s="496">
        <f t="shared" si="1"/>
        <v>0</v>
      </c>
      <c r="Y8" s="496">
        <f t="shared" si="1"/>
        <v>31000000</v>
      </c>
      <c r="Z8" s="496">
        <f t="shared" si="1"/>
        <v>180000000</v>
      </c>
      <c r="AA8" s="496">
        <f t="shared" si="1"/>
        <v>0</v>
      </c>
      <c r="AB8" s="496">
        <f t="shared" si="1"/>
        <v>60000000</v>
      </c>
      <c r="AC8" s="496">
        <f t="shared" si="1"/>
        <v>0</v>
      </c>
      <c r="AD8" s="496">
        <f t="shared" si="1"/>
        <v>0</v>
      </c>
      <c r="AE8" s="496">
        <f t="shared" si="1"/>
        <v>0</v>
      </c>
      <c r="AF8" s="496">
        <f t="shared" si="1"/>
        <v>146107461</v>
      </c>
      <c r="AG8" s="496">
        <f t="shared" si="1"/>
        <v>0</v>
      </c>
      <c r="AH8" s="500">
        <f t="shared" ref="AH8:AH71" si="2">SUM(V8:AG8)</f>
        <v>417107461</v>
      </c>
      <c r="AI8" s="628"/>
      <c r="AJ8" s="628"/>
      <c r="AK8" s="629"/>
      <c r="AL8" s="629"/>
      <c r="AM8" s="629"/>
      <c r="AN8" s="531"/>
      <c r="AO8" s="531"/>
      <c r="AP8" s="531"/>
      <c r="AR8" s="655"/>
      <c r="AS8" s="655"/>
      <c r="AT8" s="655"/>
      <c r="AU8" s="655"/>
      <c r="AV8" s="655"/>
      <c r="AW8" s="655"/>
      <c r="AX8" s="655"/>
      <c r="AY8" s="655"/>
      <c r="AZ8" s="655"/>
      <c r="BA8" s="655"/>
      <c r="BB8" s="655"/>
      <c r="BC8" s="655"/>
      <c r="BD8" s="655"/>
      <c r="BE8" s="655"/>
      <c r="BF8" s="655"/>
      <c r="BG8" s="655"/>
      <c r="BH8" s="655"/>
      <c r="BI8" s="655"/>
      <c r="BJ8" s="655"/>
      <c r="BK8" s="655"/>
      <c r="BL8" s="655"/>
      <c r="BM8" s="655"/>
      <c r="BN8" s="655"/>
      <c r="BO8" s="655"/>
      <c r="BP8" s="655"/>
      <c r="BQ8" s="655"/>
      <c r="BR8" s="655"/>
      <c r="BS8" s="655"/>
      <c r="BT8" s="655"/>
      <c r="BU8" s="655"/>
      <c r="BV8" s="655"/>
    </row>
    <row r="9" spans="2:74" ht="15" customHeight="1" x14ac:dyDescent="0.2">
      <c r="B9" s="41" t="s">
        <v>7</v>
      </c>
      <c r="C9" s="42" t="s">
        <v>20</v>
      </c>
      <c r="D9" s="42" t="s">
        <v>8</v>
      </c>
      <c r="E9" s="42" t="s">
        <v>8</v>
      </c>
      <c r="F9" s="42"/>
      <c r="G9" s="42"/>
      <c r="H9" s="42"/>
      <c r="I9" s="42"/>
      <c r="J9" s="194"/>
      <c r="K9" s="41"/>
      <c r="L9" s="410" t="s">
        <v>26</v>
      </c>
      <c r="M9" s="130"/>
      <c r="N9" s="130"/>
      <c r="O9" s="153"/>
      <c r="P9" s="153"/>
      <c r="Q9" s="434">
        <f>+Q10+Q23</f>
        <v>386000000</v>
      </c>
      <c r="R9" s="44">
        <f>+R10+R23</f>
        <v>386000000</v>
      </c>
      <c r="S9" s="180"/>
      <c r="T9" s="45"/>
      <c r="U9" s="251"/>
      <c r="V9" s="497">
        <f t="shared" ref="V9:AG9" si="3">+V10+V23</f>
        <v>0</v>
      </c>
      <c r="W9" s="497">
        <f t="shared" si="3"/>
        <v>0</v>
      </c>
      <c r="X9" s="498">
        <f t="shared" si="3"/>
        <v>0</v>
      </c>
      <c r="Y9" s="498">
        <f t="shared" si="3"/>
        <v>31000000</v>
      </c>
      <c r="Z9" s="498">
        <f t="shared" si="3"/>
        <v>180000000</v>
      </c>
      <c r="AA9" s="498">
        <f t="shared" si="3"/>
        <v>0</v>
      </c>
      <c r="AB9" s="498">
        <f t="shared" si="3"/>
        <v>60000000</v>
      </c>
      <c r="AC9" s="498">
        <f t="shared" si="3"/>
        <v>0</v>
      </c>
      <c r="AD9" s="498">
        <f t="shared" si="3"/>
        <v>0</v>
      </c>
      <c r="AE9" s="498">
        <f t="shared" si="3"/>
        <v>0</v>
      </c>
      <c r="AF9" s="498">
        <f t="shared" si="3"/>
        <v>146107461</v>
      </c>
      <c r="AG9" s="498">
        <f t="shared" si="3"/>
        <v>0</v>
      </c>
      <c r="AH9" s="501">
        <f>SUM(V9:AG9)</f>
        <v>417107461</v>
      </c>
      <c r="AI9" s="535"/>
      <c r="AJ9" s="535"/>
      <c r="AK9" s="536"/>
      <c r="AL9" s="536"/>
      <c r="AM9" s="536"/>
      <c r="AR9" s="285"/>
      <c r="AS9" s="285"/>
      <c r="AT9" s="285"/>
      <c r="AU9" s="285"/>
      <c r="AV9" s="285"/>
      <c r="AW9" s="285"/>
      <c r="AX9" s="285"/>
      <c r="AY9" s="285"/>
      <c r="AZ9" s="285"/>
      <c r="BA9" s="285"/>
      <c r="BB9" s="285"/>
      <c r="BC9" s="285"/>
      <c r="BD9" s="285"/>
      <c r="BE9" s="285"/>
      <c r="BF9" s="285"/>
      <c r="BG9" s="285"/>
      <c r="BH9" s="285"/>
      <c r="BI9" s="285"/>
      <c r="BJ9" s="285"/>
      <c r="BK9" s="285"/>
      <c r="BL9" s="285"/>
      <c r="BM9" s="285"/>
      <c r="BN9" s="285"/>
      <c r="BO9" s="285"/>
      <c r="BP9" s="285"/>
      <c r="BQ9" s="285"/>
      <c r="BR9" s="285"/>
      <c r="BS9" s="285"/>
      <c r="BT9" s="285"/>
      <c r="BU9" s="285"/>
      <c r="BV9" s="285"/>
    </row>
    <row r="10" spans="2:74" ht="15" customHeight="1" x14ac:dyDescent="0.2">
      <c r="B10" s="13" t="s">
        <v>7</v>
      </c>
      <c r="C10" s="14" t="s">
        <v>20</v>
      </c>
      <c r="D10" s="14" t="s">
        <v>8</v>
      </c>
      <c r="E10" s="14" t="s">
        <v>8</v>
      </c>
      <c r="F10" s="14" t="s">
        <v>12</v>
      </c>
      <c r="G10" s="14"/>
      <c r="H10" s="14"/>
      <c r="I10" s="14"/>
      <c r="J10" s="195"/>
      <c r="K10" s="13"/>
      <c r="L10" s="411" t="s">
        <v>36</v>
      </c>
      <c r="M10" s="131"/>
      <c r="N10" s="131"/>
      <c r="O10" s="154"/>
      <c r="P10" s="154"/>
      <c r="Q10" s="434">
        <f>+Q11+Q20+Q14</f>
        <v>351000000</v>
      </c>
      <c r="R10" s="16">
        <f>+R11+R14+R20+R17</f>
        <v>362892461</v>
      </c>
      <c r="S10" s="14"/>
      <c r="T10" s="17"/>
      <c r="U10" s="252"/>
      <c r="V10" s="497">
        <f t="shared" ref="V10:AG10" si="4">+V11+V14+V20</f>
        <v>0</v>
      </c>
      <c r="W10" s="497">
        <f t="shared" si="4"/>
        <v>0</v>
      </c>
      <c r="X10" s="498">
        <f t="shared" si="4"/>
        <v>0</v>
      </c>
      <c r="Y10" s="498">
        <f t="shared" si="4"/>
        <v>0</v>
      </c>
      <c r="Z10" s="498">
        <f t="shared" si="4"/>
        <v>180000000</v>
      </c>
      <c r="AA10" s="498">
        <f t="shared" si="4"/>
        <v>0</v>
      </c>
      <c r="AB10" s="498">
        <f t="shared" si="4"/>
        <v>60000000</v>
      </c>
      <c r="AC10" s="498">
        <f t="shared" si="4"/>
        <v>0</v>
      </c>
      <c r="AD10" s="498">
        <f t="shared" si="4"/>
        <v>0</v>
      </c>
      <c r="AE10" s="498">
        <f t="shared" si="4"/>
        <v>0</v>
      </c>
      <c r="AF10" s="498">
        <f t="shared" si="4"/>
        <v>146107461</v>
      </c>
      <c r="AG10" s="498">
        <f t="shared" si="4"/>
        <v>0</v>
      </c>
      <c r="AH10" s="501">
        <f t="shared" si="2"/>
        <v>386107461</v>
      </c>
      <c r="AI10" s="535"/>
      <c r="AJ10" s="535"/>
      <c r="AK10" s="536"/>
      <c r="AL10" s="536"/>
      <c r="AM10" s="536"/>
      <c r="AR10" s="285"/>
      <c r="AS10" s="285"/>
      <c r="AT10" s="285"/>
      <c r="AU10" s="285"/>
      <c r="AV10" s="285"/>
      <c r="AW10" s="285"/>
      <c r="AX10" s="285"/>
      <c r="AY10" s="285"/>
      <c r="AZ10" s="285"/>
      <c r="BA10" s="285"/>
      <c r="BB10" s="285"/>
      <c r="BC10" s="285"/>
      <c r="BD10" s="285"/>
      <c r="BE10" s="285"/>
      <c r="BF10" s="285"/>
      <c r="BG10" s="285"/>
      <c r="BH10" s="285"/>
      <c r="BI10" s="285"/>
      <c r="BJ10" s="285"/>
      <c r="BK10" s="285"/>
      <c r="BL10" s="285"/>
      <c r="BM10" s="285"/>
      <c r="BN10" s="285"/>
      <c r="BO10" s="285"/>
      <c r="BP10" s="285"/>
      <c r="BQ10" s="285"/>
      <c r="BR10" s="285"/>
      <c r="BS10" s="285"/>
      <c r="BT10" s="285"/>
      <c r="BU10" s="285"/>
      <c r="BV10" s="285"/>
    </row>
    <row r="11" spans="2:74" ht="15" customHeight="1" x14ac:dyDescent="0.2">
      <c r="B11" s="91" t="s">
        <v>7</v>
      </c>
      <c r="C11" s="92" t="s">
        <v>20</v>
      </c>
      <c r="D11" s="92" t="s">
        <v>8</v>
      </c>
      <c r="E11" s="92" t="s">
        <v>8</v>
      </c>
      <c r="F11" s="92" t="s">
        <v>12</v>
      </c>
      <c r="G11" s="92" t="s">
        <v>12</v>
      </c>
      <c r="H11" s="92"/>
      <c r="I11" s="92"/>
      <c r="J11" s="196"/>
      <c r="K11" s="91"/>
      <c r="L11" s="412" t="s">
        <v>39</v>
      </c>
      <c r="M11" s="132"/>
      <c r="N11" s="132"/>
      <c r="O11" s="155"/>
      <c r="P11" s="155"/>
      <c r="Q11" s="434">
        <f>SUM(Q12)</f>
        <v>72500000</v>
      </c>
      <c r="R11" s="94">
        <f>SUM(R12)</f>
        <v>146107461</v>
      </c>
      <c r="S11" s="92"/>
      <c r="T11" s="95"/>
      <c r="U11" s="244"/>
      <c r="V11" s="497">
        <f>SUM(V12)</f>
        <v>0</v>
      </c>
      <c r="W11" s="497">
        <f t="shared" ref="W11:AG12" si="5">SUM(W12)</f>
        <v>0</v>
      </c>
      <c r="X11" s="498">
        <f t="shared" si="5"/>
        <v>0</v>
      </c>
      <c r="Y11" s="498">
        <f t="shared" si="5"/>
        <v>0</v>
      </c>
      <c r="Z11" s="498">
        <f t="shared" si="5"/>
        <v>0</v>
      </c>
      <c r="AA11" s="498">
        <f t="shared" si="5"/>
        <v>0</v>
      </c>
      <c r="AB11" s="498">
        <f t="shared" si="5"/>
        <v>0</v>
      </c>
      <c r="AC11" s="498">
        <f t="shared" si="5"/>
        <v>0</v>
      </c>
      <c r="AD11" s="498">
        <f t="shared" si="5"/>
        <v>0</v>
      </c>
      <c r="AE11" s="498">
        <f t="shared" si="5"/>
        <v>0</v>
      </c>
      <c r="AF11" s="498">
        <f t="shared" si="5"/>
        <v>146107461</v>
      </c>
      <c r="AG11" s="498">
        <f t="shared" si="5"/>
        <v>0</v>
      </c>
      <c r="AH11" s="501">
        <f t="shared" si="2"/>
        <v>146107461</v>
      </c>
      <c r="AI11" s="535"/>
      <c r="AJ11" s="535"/>
      <c r="AK11" s="536"/>
      <c r="AL11" s="536"/>
      <c r="AM11" s="536"/>
      <c r="AR11" s="285"/>
      <c r="AS11" s="285"/>
      <c r="AT11" s="285"/>
      <c r="AU11" s="285"/>
      <c r="AV11" s="285"/>
      <c r="AW11" s="285"/>
      <c r="AX11" s="285"/>
      <c r="AY11" s="285"/>
      <c r="AZ11" s="285"/>
      <c r="BA11" s="285"/>
      <c r="BB11" s="285"/>
      <c r="BC11" s="285"/>
      <c r="BD11" s="285"/>
      <c r="BE11" s="285"/>
      <c r="BF11" s="285"/>
      <c r="BG11" s="285"/>
      <c r="BH11" s="285"/>
      <c r="BI11" s="285"/>
      <c r="BJ11" s="285"/>
      <c r="BK11" s="285"/>
      <c r="BL11" s="285"/>
      <c r="BM11" s="285"/>
      <c r="BN11" s="285"/>
      <c r="BO11" s="285"/>
      <c r="BP11" s="285"/>
      <c r="BQ11" s="285"/>
      <c r="BR11" s="285"/>
      <c r="BS11" s="285"/>
      <c r="BT11" s="285"/>
      <c r="BU11" s="285"/>
      <c r="BV11" s="285"/>
    </row>
    <row r="12" spans="2:74" ht="15" customHeight="1" x14ac:dyDescent="0.2">
      <c r="B12" s="397" t="s">
        <v>7</v>
      </c>
      <c r="C12" s="395" t="s">
        <v>20</v>
      </c>
      <c r="D12" s="395" t="s">
        <v>8</v>
      </c>
      <c r="E12" s="395" t="s">
        <v>8</v>
      </c>
      <c r="F12" s="395" t="s">
        <v>12</v>
      </c>
      <c r="G12" s="395" t="s">
        <v>12</v>
      </c>
      <c r="H12" s="233" t="s">
        <v>20</v>
      </c>
      <c r="I12" s="395"/>
      <c r="J12" s="405"/>
      <c r="K12" s="397"/>
      <c r="L12" s="404" t="s">
        <v>40</v>
      </c>
      <c r="M12" s="133"/>
      <c r="N12" s="133"/>
      <c r="O12" s="156"/>
      <c r="P12" s="156"/>
      <c r="Q12" s="434">
        <v>72500000</v>
      </c>
      <c r="R12" s="5">
        <f>SUM(R13)</f>
        <v>146107461</v>
      </c>
      <c r="S12" s="395"/>
      <c r="T12" s="288"/>
      <c r="U12" s="289"/>
      <c r="V12" s="497">
        <f>SUM(V13)</f>
        <v>0</v>
      </c>
      <c r="W12" s="497">
        <f t="shared" si="5"/>
        <v>0</v>
      </c>
      <c r="X12" s="498">
        <f t="shared" si="5"/>
        <v>0</v>
      </c>
      <c r="Y12" s="498">
        <f t="shared" si="5"/>
        <v>0</v>
      </c>
      <c r="Z12" s="498">
        <f t="shared" si="5"/>
        <v>0</v>
      </c>
      <c r="AA12" s="498">
        <f t="shared" si="5"/>
        <v>0</v>
      </c>
      <c r="AB12" s="498">
        <f t="shared" si="5"/>
        <v>0</v>
      </c>
      <c r="AC12" s="498">
        <f t="shared" si="5"/>
        <v>0</v>
      </c>
      <c r="AD12" s="498">
        <f t="shared" si="5"/>
        <v>0</v>
      </c>
      <c r="AE12" s="498">
        <f t="shared" si="5"/>
        <v>0</v>
      </c>
      <c r="AF12" s="498">
        <f t="shared" si="5"/>
        <v>146107461</v>
      </c>
      <c r="AG12" s="498">
        <f t="shared" si="5"/>
        <v>0</v>
      </c>
      <c r="AH12" s="501">
        <f t="shared" si="2"/>
        <v>146107461</v>
      </c>
      <c r="AI12" s="535"/>
      <c r="AJ12" s="535"/>
      <c r="AK12" s="536"/>
      <c r="AL12" s="536"/>
      <c r="AM12" s="536"/>
      <c r="AR12" s="285"/>
      <c r="AS12" s="285"/>
      <c r="AT12" s="285"/>
      <c r="AU12" s="285"/>
      <c r="AV12" s="285"/>
      <c r="AW12" s="285"/>
      <c r="AX12" s="285"/>
      <c r="AY12" s="285"/>
      <c r="AZ12" s="285"/>
      <c r="BA12" s="285"/>
      <c r="BB12" s="285"/>
      <c r="BC12" s="285"/>
      <c r="BD12" s="285"/>
      <c r="BE12" s="285"/>
      <c r="BF12" s="285"/>
      <c r="BG12" s="285"/>
      <c r="BH12" s="285"/>
      <c r="BI12" s="285"/>
      <c r="BJ12" s="285"/>
      <c r="BK12" s="285"/>
      <c r="BL12" s="285"/>
      <c r="BM12" s="285"/>
      <c r="BN12" s="285"/>
      <c r="BO12" s="285"/>
      <c r="BP12" s="285"/>
      <c r="BQ12" s="285"/>
      <c r="BR12" s="285"/>
      <c r="BS12" s="285"/>
      <c r="BT12" s="285"/>
      <c r="BU12" s="285"/>
      <c r="BV12" s="285"/>
    </row>
    <row r="13" spans="2:74" ht="75" x14ac:dyDescent="0.2">
      <c r="B13" s="677"/>
      <c r="C13" s="678"/>
      <c r="D13" s="678"/>
      <c r="E13" s="678"/>
      <c r="F13" s="678"/>
      <c r="G13" s="678"/>
      <c r="H13" s="678"/>
      <c r="I13" s="678"/>
      <c r="J13" s="737"/>
      <c r="K13" s="177" t="s">
        <v>508</v>
      </c>
      <c r="L13" s="400" t="s">
        <v>509</v>
      </c>
      <c r="M13" s="134">
        <v>44242</v>
      </c>
      <c r="N13" s="134" t="s">
        <v>539</v>
      </c>
      <c r="O13" s="157" t="s">
        <v>487</v>
      </c>
      <c r="P13" s="157" t="s">
        <v>319</v>
      </c>
      <c r="Q13" s="434"/>
      <c r="R13" s="101">
        <f>80000000+35000000+28215000+2892461</f>
        <v>146107461</v>
      </c>
      <c r="S13" s="453" t="s">
        <v>386</v>
      </c>
      <c r="T13" s="399"/>
      <c r="U13" s="253" t="s">
        <v>221</v>
      </c>
      <c r="V13" s="497"/>
      <c r="W13" s="497"/>
      <c r="X13" s="498"/>
      <c r="Y13" s="498"/>
      <c r="Z13" s="498"/>
      <c r="AA13" s="498"/>
      <c r="AB13" s="498"/>
      <c r="AC13" s="498"/>
      <c r="AD13" s="498"/>
      <c r="AE13" s="498"/>
      <c r="AF13" s="498">
        <v>146107461</v>
      </c>
      <c r="AG13" s="498"/>
      <c r="AH13" s="501">
        <f t="shared" si="2"/>
        <v>146107461</v>
      </c>
      <c r="AI13" s="535">
        <v>38221</v>
      </c>
      <c r="AJ13" s="538">
        <v>44316</v>
      </c>
      <c r="AK13" s="536">
        <v>115000000</v>
      </c>
      <c r="AL13" s="536">
        <v>145284500</v>
      </c>
      <c r="AM13" s="536">
        <v>145284500</v>
      </c>
      <c r="AN13" s="532">
        <f>+R13-AL13</f>
        <v>822961</v>
      </c>
      <c r="AO13" s="532">
        <f>+AL13-AM13</f>
        <v>0</v>
      </c>
      <c r="AP13" s="533">
        <f>R13-AL13+AO13</f>
        <v>822961</v>
      </c>
      <c r="AR13" s="285"/>
      <c r="AS13" s="285"/>
      <c r="AT13" s="285"/>
      <c r="AU13" s="285"/>
      <c r="AV13" s="285"/>
      <c r="AW13" s="285"/>
      <c r="AX13" s="285"/>
      <c r="AY13" s="285"/>
      <c r="AZ13" s="285"/>
      <c r="BA13" s="285"/>
      <c r="BB13" s="285"/>
      <c r="BC13" s="285"/>
      <c r="BD13" s="285"/>
      <c r="BE13" s="285"/>
      <c r="BF13" s="285"/>
      <c r="BG13" s="285"/>
      <c r="BH13" s="285"/>
      <c r="BI13" s="285"/>
      <c r="BJ13" s="285"/>
      <c r="BK13" s="285"/>
      <c r="BL13" s="285"/>
      <c r="BM13" s="285"/>
      <c r="BN13" s="285"/>
      <c r="BO13" s="285"/>
      <c r="BP13" s="285"/>
      <c r="BQ13" s="285"/>
      <c r="BR13" s="285"/>
      <c r="BS13" s="285"/>
      <c r="BT13" s="285"/>
      <c r="BU13" s="285"/>
      <c r="BV13" s="285"/>
    </row>
    <row r="14" spans="2:74" ht="32.25" customHeight="1" x14ac:dyDescent="0.2">
      <c r="B14" s="91" t="s">
        <v>7</v>
      </c>
      <c r="C14" s="92" t="s">
        <v>20</v>
      </c>
      <c r="D14" s="92" t="s">
        <v>8</v>
      </c>
      <c r="E14" s="92" t="s">
        <v>8</v>
      </c>
      <c r="F14" s="92" t="s">
        <v>12</v>
      </c>
      <c r="G14" s="92" t="s">
        <v>13</v>
      </c>
      <c r="H14" s="92"/>
      <c r="I14" s="92"/>
      <c r="J14" s="196"/>
      <c r="K14" s="91"/>
      <c r="L14" s="412" t="s">
        <v>42</v>
      </c>
      <c r="M14" s="132"/>
      <c r="N14" s="132"/>
      <c r="O14" s="155"/>
      <c r="P14" s="155"/>
      <c r="Q14" s="434">
        <f>SUM(Q15:Q15)</f>
        <v>98500000</v>
      </c>
      <c r="R14" s="94">
        <f>SUM(R15:R15)</f>
        <v>60000000</v>
      </c>
      <c r="S14" s="92"/>
      <c r="T14" s="95"/>
      <c r="U14" s="244"/>
      <c r="V14" s="497">
        <f>SUM(V15:V15)</f>
        <v>0</v>
      </c>
      <c r="W14" s="497">
        <f t="shared" ref="W14:AG14" si="6">SUM(W15:W15)</f>
        <v>0</v>
      </c>
      <c r="X14" s="498">
        <f t="shared" si="6"/>
        <v>0</v>
      </c>
      <c r="Y14" s="498">
        <f t="shared" si="6"/>
        <v>0</v>
      </c>
      <c r="Z14" s="498">
        <f t="shared" si="6"/>
        <v>0</v>
      </c>
      <c r="AA14" s="498">
        <f t="shared" si="6"/>
        <v>0</v>
      </c>
      <c r="AB14" s="498">
        <f t="shared" si="6"/>
        <v>60000000</v>
      </c>
      <c r="AC14" s="498">
        <f t="shared" si="6"/>
        <v>0</v>
      </c>
      <c r="AD14" s="498">
        <f t="shared" si="6"/>
        <v>0</v>
      </c>
      <c r="AE14" s="498">
        <f t="shared" si="6"/>
        <v>0</v>
      </c>
      <c r="AF14" s="498">
        <f t="shared" si="6"/>
        <v>0</v>
      </c>
      <c r="AG14" s="498">
        <f t="shared" si="6"/>
        <v>0</v>
      </c>
      <c r="AH14" s="501">
        <f t="shared" si="2"/>
        <v>60000000</v>
      </c>
      <c r="AI14" s="535"/>
      <c r="AJ14" s="535"/>
      <c r="AK14" s="536"/>
      <c r="AL14" s="536"/>
      <c r="AM14" s="536"/>
      <c r="AR14" s="285"/>
      <c r="AS14" s="285"/>
      <c r="AT14" s="285"/>
      <c r="AU14" s="285"/>
      <c r="AV14" s="285"/>
      <c r="AW14" s="285"/>
      <c r="AX14" s="285"/>
      <c r="AY14" s="285"/>
      <c r="AZ14" s="285"/>
      <c r="BA14" s="285"/>
      <c r="BB14" s="285"/>
      <c r="BC14" s="285"/>
      <c r="BD14" s="285"/>
      <c r="BE14" s="285"/>
      <c r="BF14" s="285"/>
      <c r="BG14" s="285"/>
      <c r="BH14" s="285"/>
      <c r="BI14" s="285"/>
      <c r="BJ14" s="285"/>
      <c r="BK14" s="285"/>
      <c r="BL14" s="285"/>
      <c r="BM14" s="285"/>
      <c r="BN14" s="285"/>
      <c r="BO14" s="285"/>
      <c r="BP14" s="285"/>
      <c r="BQ14" s="285"/>
      <c r="BR14" s="285"/>
      <c r="BS14" s="285"/>
      <c r="BT14" s="285"/>
      <c r="BU14" s="285"/>
      <c r="BV14" s="285"/>
    </row>
    <row r="15" spans="2:74" ht="33" customHeight="1" x14ac:dyDescent="0.2">
      <c r="B15" s="397" t="s">
        <v>7</v>
      </c>
      <c r="C15" s="395" t="s">
        <v>20</v>
      </c>
      <c r="D15" s="395" t="s">
        <v>8</v>
      </c>
      <c r="E15" s="395" t="s">
        <v>8</v>
      </c>
      <c r="F15" s="395" t="s">
        <v>12</v>
      </c>
      <c r="G15" s="395" t="s">
        <v>13</v>
      </c>
      <c r="H15" s="395" t="s">
        <v>20</v>
      </c>
      <c r="I15" s="395"/>
      <c r="J15" s="405"/>
      <c r="K15" s="397"/>
      <c r="L15" s="404" t="s">
        <v>290</v>
      </c>
      <c r="M15" s="133"/>
      <c r="N15" s="133"/>
      <c r="O15" s="156"/>
      <c r="P15" s="156"/>
      <c r="Q15" s="434">
        <v>98500000</v>
      </c>
      <c r="R15" s="5">
        <f>SUM(R16:R16)</f>
        <v>60000000</v>
      </c>
      <c r="S15" s="403"/>
      <c r="T15" s="396"/>
      <c r="U15" s="245"/>
      <c r="V15" s="497">
        <f>SUM(V16:V16)</f>
        <v>0</v>
      </c>
      <c r="W15" s="497">
        <f t="shared" ref="W15:AG15" si="7">SUM(W16:W16)</f>
        <v>0</v>
      </c>
      <c r="X15" s="498">
        <f t="shared" si="7"/>
        <v>0</v>
      </c>
      <c r="Y15" s="498">
        <f t="shared" si="7"/>
        <v>0</v>
      </c>
      <c r="Z15" s="498">
        <f t="shared" si="7"/>
        <v>0</v>
      </c>
      <c r="AA15" s="498">
        <f t="shared" si="7"/>
        <v>0</v>
      </c>
      <c r="AB15" s="498">
        <f t="shared" si="7"/>
        <v>60000000</v>
      </c>
      <c r="AC15" s="498">
        <f t="shared" si="7"/>
        <v>0</v>
      </c>
      <c r="AD15" s="498">
        <f t="shared" si="7"/>
        <v>0</v>
      </c>
      <c r="AE15" s="498">
        <f t="shared" si="7"/>
        <v>0</v>
      </c>
      <c r="AF15" s="498">
        <f t="shared" si="7"/>
        <v>0</v>
      </c>
      <c r="AG15" s="498">
        <f t="shared" si="7"/>
        <v>0</v>
      </c>
      <c r="AH15" s="501">
        <f t="shared" si="2"/>
        <v>60000000</v>
      </c>
      <c r="AI15" s="535"/>
      <c r="AJ15" s="535"/>
      <c r="AK15" s="536"/>
      <c r="AL15" s="536"/>
      <c r="AM15" s="536"/>
      <c r="AR15" s="285"/>
      <c r="AS15" s="285"/>
      <c r="AT15" s="285"/>
      <c r="AU15" s="285"/>
      <c r="AV15" s="285"/>
      <c r="AW15" s="285"/>
      <c r="AX15" s="285"/>
      <c r="AY15" s="285"/>
      <c r="AZ15" s="285"/>
      <c r="BA15" s="285"/>
      <c r="BB15" s="285"/>
      <c r="BC15" s="285"/>
      <c r="BD15" s="285"/>
      <c r="BE15" s="285"/>
      <c r="BF15" s="285"/>
      <c r="BG15" s="285"/>
      <c r="BH15" s="285"/>
      <c r="BI15" s="285"/>
      <c r="BJ15" s="285"/>
      <c r="BK15" s="285"/>
      <c r="BL15" s="285"/>
      <c r="BM15" s="285"/>
      <c r="BN15" s="285"/>
      <c r="BO15" s="285"/>
      <c r="BP15" s="285"/>
      <c r="BQ15" s="285"/>
      <c r="BR15" s="285"/>
      <c r="BS15" s="285"/>
      <c r="BT15" s="285"/>
      <c r="BU15" s="285"/>
      <c r="BV15" s="285"/>
    </row>
    <row r="16" spans="2:74" x14ac:dyDescent="0.2">
      <c r="B16" s="677"/>
      <c r="C16" s="678"/>
      <c r="D16" s="678"/>
      <c r="E16" s="678"/>
      <c r="F16" s="678"/>
      <c r="G16" s="678"/>
      <c r="H16" s="678"/>
      <c r="I16" s="678"/>
      <c r="J16" s="737"/>
      <c r="K16" s="398">
        <v>43211500</v>
      </c>
      <c r="L16" s="400" t="s">
        <v>620</v>
      </c>
      <c r="M16" s="134">
        <v>44362</v>
      </c>
      <c r="N16" s="134" t="s">
        <v>572</v>
      </c>
      <c r="O16" s="157" t="s">
        <v>294</v>
      </c>
      <c r="P16" s="157" t="s">
        <v>384</v>
      </c>
      <c r="Q16" s="434"/>
      <c r="R16" s="101">
        <v>60000000</v>
      </c>
      <c r="S16" s="453" t="s">
        <v>386</v>
      </c>
      <c r="T16" s="399"/>
      <c r="U16" s="253" t="s">
        <v>181</v>
      </c>
      <c r="V16" s="497"/>
      <c r="W16" s="497"/>
      <c r="X16" s="498"/>
      <c r="Y16" s="498"/>
      <c r="Z16" s="498"/>
      <c r="AA16" s="498"/>
      <c r="AB16" s="498">
        <v>60000000</v>
      </c>
      <c r="AC16" s="498"/>
      <c r="AD16" s="498"/>
      <c r="AE16" s="498"/>
      <c r="AF16" s="498"/>
      <c r="AG16" s="498"/>
      <c r="AH16" s="501">
        <f t="shared" si="2"/>
        <v>60000000</v>
      </c>
      <c r="AI16" s="535">
        <v>49121</v>
      </c>
      <c r="AJ16" s="538">
        <v>44358</v>
      </c>
      <c r="AK16" s="536">
        <v>60000000</v>
      </c>
      <c r="AL16" s="536">
        <v>60000000</v>
      </c>
      <c r="AM16" s="536">
        <v>57005000</v>
      </c>
      <c r="AN16" s="532">
        <f>+R16-AL16</f>
        <v>0</v>
      </c>
      <c r="AO16" s="547">
        <f>+AL16-AM16</f>
        <v>2995000</v>
      </c>
      <c r="AP16" s="533">
        <f>R16-AL16+AO16</f>
        <v>2995000</v>
      </c>
      <c r="AR16" s="285"/>
      <c r="AS16" s="285"/>
      <c r="AT16" s="285"/>
      <c r="AU16" s="285"/>
      <c r="AV16" s="285"/>
      <c r="AW16" s="285"/>
      <c r="AX16" s="285"/>
      <c r="AY16" s="285"/>
      <c r="AZ16" s="285"/>
      <c r="BA16" s="285"/>
      <c r="BB16" s="285"/>
      <c r="BC16" s="285"/>
      <c r="BD16" s="285"/>
      <c r="BE16" s="285"/>
      <c r="BF16" s="285"/>
      <c r="BG16" s="285"/>
      <c r="BH16" s="285"/>
      <c r="BI16" s="285"/>
      <c r="BJ16" s="285"/>
      <c r="BK16" s="285"/>
      <c r="BL16" s="285"/>
      <c r="BM16" s="285"/>
      <c r="BN16" s="285"/>
      <c r="BO16" s="285"/>
      <c r="BP16" s="285"/>
      <c r="BQ16" s="285"/>
      <c r="BR16" s="285"/>
      <c r="BS16" s="285"/>
      <c r="BT16" s="285"/>
      <c r="BU16" s="285"/>
      <c r="BV16" s="285"/>
    </row>
    <row r="17" spans="2:74" s="440" customFormat="1" ht="42" customHeight="1" x14ac:dyDescent="0.2">
      <c r="B17" s="91" t="s">
        <v>7</v>
      </c>
      <c r="C17" s="92" t="s">
        <v>20</v>
      </c>
      <c r="D17" s="92" t="s">
        <v>8</v>
      </c>
      <c r="E17" s="92" t="s">
        <v>8</v>
      </c>
      <c r="F17" s="92" t="s">
        <v>12</v>
      </c>
      <c r="G17" s="621" t="s">
        <v>16</v>
      </c>
      <c r="H17" s="92"/>
      <c r="I17" s="92"/>
      <c r="J17" s="196"/>
      <c r="K17" s="91"/>
      <c r="L17" s="412" t="s">
        <v>143</v>
      </c>
      <c r="M17" s="132"/>
      <c r="N17" s="132"/>
      <c r="O17" s="155"/>
      <c r="P17" s="155"/>
      <c r="Q17" s="434">
        <f>SUM(Q18:Q18)</f>
        <v>98500000</v>
      </c>
      <c r="R17" s="94">
        <f>SUM(R18:R18)</f>
        <v>5000000</v>
      </c>
      <c r="S17" s="92"/>
      <c r="T17" s="95"/>
      <c r="U17" s="244"/>
      <c r="V17" s="497">
        <f>SUM(V18:V18)</f>
        <v>0</v>
      </c>
      <c r="W17" s="497">
        <f t="shared" ref="W17:AG18" si="8">SUM(W18:W18)</f>
        <v>0</v>
      </c>
      <c r="X17" s="498">
        <f t="shared" si="8"/>
        <v>0</v>
      </c>
      <c r="Y17" s="498">
        <f t="shared" si="8"/>
        <v>0</v>
      </c>
      <c r="Z17" s="498">
        <f t="shared" si="8"/>
        <v>0</v>
      </c>
      <c r="AA17" s="498">
        <f t="shared" si="8"/>
        <v>0</v>
      </c>
      <c r="AB17" s="498">
        <f t="shared" si="8"/>
        <v>0</v>
      </c>
      <c r="AC17" s="498">
        <f t="shared" si="8"/>
        <v>0</v>
      </c>
      <c r="AD17" s="498">
        <f t="shared" si="8"/>
        <v>0</v>
      </c>
      <c r="AE17" s="498">
        <f t="shared" si="8"/>
        <v>5000000</v>
      </c>
      <c r="AF17" s="498">
        <f t="shared" si="8"/>
        <v>0</v>
      </c>
      <c r="AG17" s="498">
        <f t="shared" si="8"/>
        <v>0</v>
      </c>
      <c r="AH17" s="501">
        <f t="shared" ref="AH17:AH19" si="9">SUM(V17:AG17)</f>
        <v>5000000</v>
      </c>
      <c r="AI17" s="535"/>
      <c r="AJ17" s="535"/>
      <c r="AK17" s="536"/>
      <c r="AL17" s="536"/>
      <c r="AM17" s="536"/>
      <c r="AN17" s="527"/>
      <c r="AO17" s="527"/>
      <c r="AP17" s="527"/>
      <c r="AR17" s="285"/>
      <c r="AS17" s="285"/>
      <c r="AT17" s="285"/>
      <c r="AU17" s="285"/>
      <c r="AV17" s="285"/>
      <c r="AW17" s="285"/>
      <c r="AX17" s="285"/>
      <c r="AY17" s="285"/>
      <c r="AZ17" s="285"/>
      <c r="BA17" s="285"/>
      <c r="BB17" s="285"/>
      <c r="BC17" s="285"/>
      <c r="BD17" s="285"/>
      <c r="BE17" s="285"/>
      <c r="BF17" s="285"/>
      <c r="BG17" s="285"/>
      <c r="BH17" s="285"/>
      <c r="BI17" s="285"/>
      <c r="BJ17" s="285"/>
      <c r="BK17" s="285"/>
      <c r="BL17" s="285"/>
      <c r="BM17" s="285"/>
      <c r="BN17" s="285"/>
      <c r="BO17" s="285"/>
      <c r="BP17" s="285"/>
      <c r="BQ17" s="285"/>
      <c r="BR17" s="285"/>
      <c r="BS17" s="285"/>
      <c r="BT17" s="285"/>
      <c r="BU17" s="285"/>
      <c r="BV17" s="285"/>
    </row>
    <row r="18" spans="2:74" s="440" customFormat="1" ht="85.5" customHeight="1" x14ac:dyDescent="0.2">
      <c r="B18" s="443" t="s">
        <v>7</v>
      </c>
      <c r="C18" s="441" t="s">
        <v>20</v>
      </c>
      <c r="D18" s="441" t="s">
        <v>8</v>
      </c>
      <c r="E18" s="441" t="s">
        <v>8</v>
      </c>
      <c r="F18" s="441" t="s">
        <v>12</v>
      </c>
      <c r="G18" s="504" t="s">
        <v>16</v>
      </c>
      <c r="H18" s="441" t="s">
        <v>20</v>
      </c>
      <c r="I18" s="441"/>
      <c r="J18" s="454"/>
      <c r="K18" s="443"/>
      <c r="L18" s="404" t="s">
        <v>141</v>
      </c>
      <c r="M18" s="133"/>
      <c r="N18" s="133"/>
      <c r="O18" s="156"/>
      <c r="P18" s="156"/>
      <c r="Q18" s="434">
        <v>98500000</v>
      </c>
      <c r="R18" s="5">
        <f>SUM(R19:R19)</f>
        <v>5000000</v>
      </c>
      <c r="S18" s="403"/>
      <c r="T18" s="442"/>
      <c r="U18" s="460"/>
      <c r="V18" s="497">
        <f>SUM(V19:V19)</f>
        <v>0</v>
      </c>
      <c r="W18" s="497">
        <f t="shared" si="8"/>
        <v>0</v>
      </c>
      <c r="X18" s="498">
        <f t="shared" si="8"/>
        <v>0</v>
      </c>
      <c r="Y18" s="498">
        <f t="shared" si="8"/>
        <v>0</v>
      </c>
      <c r="Z18" s="498">
        <f t="shared" si="8"/>
        <v>0</v>
      </c>
      <c r="AA18" s="498">
        <f t="shared" si="8"/>
        <v>0</v>
      </c>
      <c r="AB18" s="498">
        <f t="shared" si="8"/>
        <v>0</v>
      </c>
      <c r="AC18" s="498">
        <f t="shared" si="8"/>
        <v>0</v>
      </c>
      <c r="AD18" s="498">
        <f t="shared" si="8"/>
        <v>0</v>
      </c>
      <c r="AE18" s="498">
        <f t="shared" si="8"/>
        <v>5000000</v>
      </c>
      <c r="AF18" s="498">
        <f t="shared" si="8"/>
        <v>0</v>
      </c>
      <c r="AG18" s="498">
        <f t="shared" si="8"/>
        <v>0</v>
      </c>
      <c r="AH18" s="501">
        <f t="shared" si="9"/>
        <v>5000000</v>
      </c>
      <c r="AI18" s="535"/>
      <c r="AJ18" s="535"/>
      <c r="AK18" s="536"/>
      <c r="AL18" s="536"/>
      <c r="AM18" s="536"/>
      <c r="AN18" s="527"/>
      <c r="AO18" s="527"/>
      <c r="AP18" s="527"/>
      <c r="AR18" s="285"/>
      <c r="AS18" s="285"/>
      <c r="AT18" s="285"/>
      <c r="AU18" s="285"/>
      <c r="AV18" s="285"/>
      <c r="AW18" s="285"/>
      <c r="AX18" s="285"/>
      <c r="AY18" s="285"/>
      <c r="AZ18" s="285"/>
      <c r="BA18" s="285"/>
      <c r="BB18" s="285"/>
      <c r="BC18" s="285"/>
      <c r="BD18" s="285"/>
      <c r="BE18" s="285"/>
      <c r="BF18" s="285"/>
      <c r="BG18" s="285"/>
      <c r="BH18" s="285"/>
      <c r="BI18" s="285"/>
      <c r="BJ18" s="285"/>
      <c r="BK18" s="285"/>
      <c r="BL18" s="285"/>
      <c r="BM18" s="285"/>
      <c r="BN18" s="285"/>
      <c r="BO18" s="285"/>
      <c r="BP18" s="285"/>
      <c r="BQ18" s="285"/>
      <c r="BR18" s="285"/>
      <c r="BS18" s="285"/>
      <c r="BT18" s="285"/>
      <c r="BU18" s="285"/>
      <c r="BV18" s="285"/>
    </row>
    <row r="19" spans="2:74" s="440" customFormat="1" ht="66.75" customHeight="1" x14ac:dyDescent="0.2">
      <c r="B19" s="677"/>
      <c r="C19" s="678"/>
      <c r="D19" s="678"/>
      <c r="E19" s="678"/>
      <c r="F19" s="678"/>
      <c r="G19" s="678"/>
      <c r="H19" s="678"/>
      <c r="I19" s="678"/>
      <c r="J19" s="737"/>
      <c r="K19" s="450" t="s">
        <v>669</v>
      </c>
      <c r="L19" s="451" t="s">
        <v>670</v>
      </c>
      <c r="M19" s="134">
        <v>44484</v>
      </c>
      <c r="N19" s="134" t="s">
        <v>578</v>
      </c>
      <c r="O19" s="157" t="s">
        <v>294</v>
      </c>
      <c r="P19" s="157" t="s">
        <v>496</v>
      </c>
      <c r="Q19" s="434"/>
      <c r="R19" s="101">
        <v>5000000</v>
      </c>
      <c r="S19" s="453" t="s">
        <v>386</v>
      </c>
      <c r="T19" s="449"/>
      <c r="U19" s="461" t="s">
        <v>181</v>
      </c>
      <c r="V19" s="497"/>
      <c r="W19" s="497"/>
      <c r="X19" s="498"/>
      <c r="Y19" s="498"/>
      <c r="Z19" s="498"/>
      <c r="AA19" s="498"/>
      <c r="AB19" s="498">
        <v>0</v>
      </c>
      <c r="AC19" s="498"/>
      <c r="AD19" s="498"/>
      <c r="AE19" s="498">
        <v>5000000</v>
      </c>
      <c r="AF19" s="498"/>
      <c r="AG19" s="498"/>
      <c r="AH19" s="501">
        <f t="shared" si="9"/>
        <v>5000000</v>
      </c>
      <c r="AI19" s="535">
        <v>83921</v>
      </c>
      <c r="AJ19" s="538">
        <v>44491</v>
      </c>
      <c r="AK19" s="536">
        <v>0</v>
      </c>
      <c r="AL19" s="536">
        <v>0</v>
      </c>
      <c r="AM19" s="536">
        <v>0</v>
      </c>
      <c r="AN19" s="532">
        <f>+R19-AL19</f>
        <v>5000000</v>
      </c>
      <c r="AO19" s="532">
        <f>+AL19-AM19</f>
        <v>0</v>
      </c>
      <c r="AP19" s="533">
        <f>R19-AL19+AO19</f>
        <v>5000000</v>
      </c>
      <c r="AQ19" s="530"/>
      <c r="AR19" s="285"/>
      <c r="AS19" s="285"/>
      <c r="AT19" s="285"/>
      <c r="AU19" s="285"/>
      <c r="AV19" s="285"/>
      <c r="AW19" s="285"/>
      <c r="AX19" s="285"/>
      <c r="AY19" s="285"/>
      <c r="AZ19" s="285"/>
      <c r="BA19" s="285"/>
      <c r="BB19" s="285"/>
      <c r="BC19" s="285"/>
      <c r="BD19" s="285"/>
      <c r="BE19" s="285"/>
      <c r="BF19" s="285"/>
      <c r="BG19" s="285"/>
      <c r="BH19" s="285"/>
      <c r="BI19" s="285"/>
      <c r="BJ19" s="285"/>
      <c r="BK19" s="285"/>
      <c r="BL19" s="285"/>
      <c r="BM19" s="285"/>
      <c r="BN19" s="285"/>
      <c r="BO19" s="285"/>
      <c r="BP19" s="285"/>
      <c r="BQ19" s="285"/>
      <c r="BR19" s="285"/>
      <c r="BS19" s="285"/>
      <c r="BT19" s="285"/>
      <c r="BU19" s="285"/>
      <c r="BV19" s="285"/>
    </row>
    <row r="20" spans="2:74" s="394" customFormat="1" x14ac:dyDescent="0.2">
      <c r="B20" s="91" t="s">
        <v>7</v>
      </c>
      <c r="C20" s="92" t="s">
        <v>20</v>
      </c>
      <c r="D20" s="92" t="s">
        <v>8</v>
      </c>
      <c r="E20" s="92" t="s">
        <v>8</v>
      </c>
      <c r="F20" s="92" t="s">
        <v>12</v>
      </c>
      <c r="G20" s="92" t="s">
        <v>17</v>
      </c>
      <c r="H20" s="92"/>
      <c r="I20" s="92"/>
      <c r="J20" s="196"/>
      <c r="K20" s="91"/>
      <c r="L20" s="412" t="s">
        <v>464</v>
      </c>
      <c r="M20" s="132"/>
      <c r="N20" s="132"/>
      <c r="O20" s="155"/>
      <c r="P20" s="155"/>
      <c r="Q20" s="434">
        <f>SUM(Q21:Q21)</f>
        <v>180000000</v>
      </c>
      <c r="R20" s="94">
        <f>+R21</f>
        <v>151785000</v>
      </c>
      <c r="S20" s="92"/>
      <c r="T20" s="95"/>
      <c r="U20" s="244"/>
      <c r="V20" s="497">
        <f>+V21</f>
        <v>0</v>
      </c>
      <c r="W20" s="497">
        <f>+W21</f>
        <v>0</v>
      </c>
      <c r="X20" s="498">
        <f>+X21</f>
        <v>0</v>
      </c>
      <c r="Y20" s="498">
        <f t="shared" ref="Y20:AG20" si="10">+Y21</f>
        <v>0</v>
      </c>
      <c r="Z20" s="498">
        <f t="shared" si="10"/>
        <v>180000000</v>
      </c>
      <c r="AA20" s="498">
        <f t="shared" si="10"/>
        <v>0</v>
      </c>
      <c r="AB20" s="498">
        <f t="shared" si="10"/>
        <v>0</v>
      </c>
      <c r="AC20" s="498">
        <f t="shared" si="10"/>
        <v>0</v>
      </c>
      <c r="AD20" s="498">
        <f t="shared" si="10"/>
        <v>0</v>
      </c>
      <c r="AE20" s="498">
        <f t="shared" si="10"/>
        <v>0</v>
      </c>
      <c r="AF20" s="498">
        <f t="shared" si="10"/>
        <v>0</v>
      </c>
      <c r="AG20" s="498">
        <f t="shared" si="10"/>
        <v>0</v>
      </c>
      <c r="AH20" s="501">
        <f t="shared" si="2"/>
        <v>180000000</v>
      </c>
      <c r="AI20" s="535"/>
      <c r="AJ20" s="535"/>
      <c r="AK20" s="536"/>
      <c r="AL20" s="536"/>
      <c r="AM20" s="536"/>
      <c r="AN20" s="527"/>
      <c r="AO20" s="527"/>
      <c r="AP20" s="527"/>
      <c r="AR20" s="285"/>
      <c r="AS20" s="285"/>
      <c r="AT20" s="285"/>
      <c r="AU20" s="285"/>
      <c r="AV20" s="285"/>
      <c r="AW20" s="285"/>
      <c r="AX20" s="285"/>
      <c r="AY20" s="285"/>
      <c r="AZ20" s="285"/>
      <c r="BA20" s="285"/>
      <c r="BB20" s="285"/>
      <c r="BC20" s="285"/>
      <c r="BD20" s="285"/>
      <c r="BE20" s="285"/>
      <c r="BF20" s="285"/>
      <c r="BG20" s="285"/>
      <c r="BH20" s="285"/>
      <c r="BI20" s="285"/>
      <c r="BJ20" s="285"/>
      <c r="BK20" s="285"/>
      <c r="BL20" s="285"/>
      <c r="BM20" s="285"/>
      <c r="BN20" s="285"/>
      <c r="BO20" s="285"/>
      <c r="BP20" s="285"/>
      <c r="BQ20" s="285"/>
      <c r="BR20" s="285"/>
      <c r="BS20" s="285"/>
      <c r="BT20" s="285"/>
      <c r="BU20" s="285"/>
      <c r="BV20" s="285"/>
    </row>
    <row r="21" spans="2:74" s="394" customFormat="1" ht="45" x14ac:dyDescent="0.2">
      <c r="B21" s="397" t="s">
        <v>7</v>
      </c>
      <c r="C21" s="395" t="s">
        <v>20</v>
      </c>
      <c r="D21" s="395" t="s">
        <v>8</v>
      </c>
      <c r="E21" s="395" t="s">
        <v>8</v>
      </c>
      <c r="F21" s="395" t="s">
        <v>12</v>
      </c>
      <c r="G21" s="395" t="s">
        <v>17</v>
      </c>
      <c r="H21" s="395" t="s">
        <v>20</v>
      </c>
      <c r="I21" s="395"/>
      <c r="J21" s="405"/>
      <c r="K21" s="397"/>
      <c r="L21" s="404" t="s">
        <v>463</v>
      </c>
      <c r="M21" s="133"/>
      <c r="N21" s="133"/>
      <c r="O21" s="156"/>
      <c r="P21" s="156"/>
      <c r="Q21" s="434">
        <v>180000000</v>
      </c>
      <c r="R21" s="8">
        <f>SUM(R22:R22)</f>
        <v>151785000</v>
      </c>
      <c r="S21" s="7"/>
      <c r="T21" s="108"/>
      <c r="U21" s="255"/>
      <c r="V21" s="497">
        <f t="shared" ref="V21:AG21" si="11">SUM(V22:V22)</f>
        <v>0</v>
      </c>
      <c r="W21" s="497">
        <f t="shared" si="11"/>
        <v>0</v>
      </c>
      <c r="X21" s="498">
        <f t="shared" si="11"/>
        <v>0</v>
      </c>
      <c r="Y21" s="498">
        <f t="shared" si="11"/>
        <v>0</v>
      </c>
      <c r="Z21" s="498">
        <f t="shared" si="11"/>
        <v>180000000</v>
      </c>
      <c r="AA21" s="498">
        <f t="shared" si="11"/>
        <v>0</v>
      </c>
      <c r="AB21" s="498">
        <f t="shared" si="11"/>
        <v>0</v>
      </c>
      <c r="AC21" s="498">
        <f t="shared" si="11"/>
        <v>0</v>
      </c>
      <c r="AD21" s="498">
        <f t="shared" si="11"/>
        <v>0</v>
      </c>
      <c r="AE21" s="498">
        <f t="shared" si="11"/>
        <v>0</v>
      </c>
      <c r="AF21" s="498">
        <f t="shared" si="11"/>
        <v>0</v>
      </c>
      <c r="AG21" s="498">
        <f t="shared" si="11"/>
        <v>0</v>
      </c>
      <c r="AH21" s="501">
        <f t="shared" si="2"/>
        <v>180000000</v>
      </c>
      <c r="AI21" s="535"/>
      <c r="AJ21" s="535"/>
      <c r="AK21" s="536"/>
      <c r="AL21" s="536"/>
      <c r="AM21" s="536"/>
      <c r="AN21" s="527"/>
      <c r="AO21" s="527"/>
      <c r="AP21" s="527"/>
      <c r="AR21" s="285"/>
      <c r="AS21" s="285"/>
      <c r="AT21" s="285"/>
      <c r="AU21" s="285"/>
      <c r="AV21" s="285"/>
      <c r="AW21" s="285"/>
      <c r="AX21" s="285"/>
      <c r="AY21" s="285"/>
      <c r="AZ21" s="285"/>
      <c r="BA21" s="285"/>
      <c r="BB21" s="285"/>
      <c r="BC21" s="285"/>
      <c r="BD21" s="285"/>
      <c r="BE21" s="285"/>
      <c r="BF21" s="285"/>
      <c r="BG21" s="285"/>
      <c r="BH21" s="285"/>
      <c r="BI21" s="285"/>
      <c r="BJ21" s="285"/>
      <c r="BK21" s="285"/>
      <c r="BL21" s="285"/>
      <c r="BM21" s="285"/>
      <c r="BN21" s="285"/>
      <c r="BO21" s="285"/>
      <c r="BP21" s="285"/>
      <c r="BQ21" s="285"/>
      <c r="BR21" s="285"/>
      <c r="BS21" s="285"/>
      <c r="BT21" s="285"/>
      <c r="BU21" s="285"/>
      <c r="BV21" s="285"/>
    </row>
    <row r="22" spans="2:74" s="394" customFormat="1" ht="30" x14ac:dyDescent="0.2">
      <c r="B22" s="677"/>
      <c r="C22" s="678"/>
      <c r="D22" s="678"/>
      <c r="E22" s="678"/>
      <c r="F22" s="678"/>
      <c r="G22" s="678"/>
      <c r="H22" s="678"/>
      <c r="I22" s="678"/>
      <c r="J22" s="737"/>
      <c r="K22" s="398">
        <v>25101600</v>
      </c>
      <c r="L22" s="400" t="s">
        <v>554</v>
      </c>
      <c r="M22" s="134">
        <v>44287</v>
      </c>
      <c r="N22" s="134" t="s">
        <v>573</v>
      </c>
      <c r="O22" s="157" t="s">
        <v>495</v>
      </c>
      <c r="P22" s="157" t="s">
        <v>382</v>
      </c>
      <c r="Q22" s="434"/>
      <c r="R22" s="101">
        <f>180000000-28215000</f>
        <v>151785000</v>
      </c>
      <c r="S22" s="453" t="s">
        <v>386</v>
      </c>
      <c r="T22" s="399"/>
      <c r="U22" s="253" t="s">
        <v>267</v>
      </c>
      <c r="V22" s="497"/>
      <c r="W22" s="497"/>
      <c r="X22" s="498"/>
      <c r="Y22" s="498"/>
      <c r="Z22" s="498">
        <v>180000000</v>
      </c>
      <c r="AA22" s="498"/>
      <c r="AB22" s="498"/>
      <c r="AC22" s="498"/>
      <c r="AD22" s="498"/>
      <c r="AE22" s="498"/>
      <c r="AF22" s="498"/>
      <c r="AG22" s="498"/>
      <c r="AH22" s="501">
        <f t="shared" si="2"/>
        <v>180000000</v>
      </c>
      <c r="AI22" s="535">
        <v>38521</v>
      </c>
      <c r="AJ22" s="538">
        <v>44320</v>
      </c>
      <c r="AK22" s="536">
        <v>180000000</v>
      </c>
      <c r="AL22" s="536">
        <v>151785000</v>
      </c>
      <c r="AM22" s="536">
        <v>151785000</v>
      </c>
      <c r="AN22" s="532">
        <f>+R22-AL22</f>
        <v>0</v>
      </c>
      <c r="AO22" s="532">
        <f>+AL22-AM22</f>
        <v>0</v>
      </c>
      <c r="AP22" s="532">
        <f>R22-AL22+AO22</f>
        <v>0</v>
      </c>
      <c r="AR22" s="548"/>
      <c r="AS22" s="285"/>
      <c r="AT22" s="285"/>
      <c r="AU22" s="285"/>
      <c r="AV22" s="285"/>
      <c r="AW22" s="285"/>
      <c r="AX22" s="285"/>
      <c r="AY22" s="285"/>
      <c r="AZ22" s="285"/>
      <c r="BA22" s="285"/>
      <c r="BB22" s="285"/>
      <c r="BC22" s="285"/>
      <c r="BD22" s="285"/>
      <c r="BE22" s="285"/>
      <c r="BF22" s="285"/>
      <c r="BG22" s="285"/>
      <c r="BH22" s="285"/>
      <c r="BI22" s="285"/>
      <c r="BJ22" s="285"/>
      <c r="BK22" s="285"/>
      <c r="BL22" s="285"/>
      <c r="BM22" s="285"/>
      <c r="BN22" s="285"/>
      <c r="BO22" s="285"/>
      <c r="BP22" s="285"/>
      <c r="BQ22" s="285"/>
      <c r="BR22" s="285"/>
      <c r="BS22" s="285"/>
      <c r="BT22" s="285"/>
      <c r="BU22" s="285"/>
      <c r="BV22" s="285"/>
    </row>
    <row r="23" spans="2:74" ht="15" customHeight="1" x14ac:dyDescent="0.2">
      <c r="B23" s="13" t="s">
        <v>7</v>
      </c>
      <c r="C23" s="14" t="s">
        <v>20</v>
      </c>
      <c r="D23" s="14" t="s">
        <v>8</v>
      </c>
      <c r="E23" s="14" t="s">
        <v>8</v>
      </c>
      <c r="F23" s="14" t="s">
        <v>14</v>
      </c>
      <c r="G23" s="14"/>
      <c r="H23" s="14"/>
      <c r="I23" s="14"/>
      <c r="J23" s="195"/>
      <c r="K23" s="13"/>
      <c r="L23" s="411" t="s">
        <v>44</v>
      </c>
      <c r="M23" s="131"/>
      <c r="N23" s="131"/>
      <c r="O23" s="154"/>
      <c r="P23" s="154"/>
      <c r="Q23" s="434">
        <f t="shared" ref="Q23:R26" si="12">+Q24</f>
        <v>35000000</v>
      </c>
      <c r="R23" s="16">
        <f t="shared" si="12"/>
        <v>23107539</v>
      </c>
      <c r="S23" s="14"/>
      <c r="T23" s="17"/>
      <c r="U23" s="252"/>
      <c r="V23" s="497">
        <f t="shared" ref="V23:AG26" si="13">+V24</f>
        <v>0</v>
      </c>
      <c r="W23" s="497">
        <f t="shared" si="13"/>
        <v>0</v>
      </c>
      <c r="X23" s="498">
        <f t="shared" si="13"/>
        <v>0</v>
      </c>
      <c r="Y23" s="498">
        <f t="shared" si="13"/>
        <v>31000000</v>
      </c>
      <c r="Z23" s="498">
        <f t="shared" si="13"/>
        <v>0</v>
      </c>
      <c r="AA23" s="498">
        <f t="shared" si="13"/>
        <v>0</v>
      </c>
      <c r="AB23" s="498">
        <f t="shared" si="13"/>
        <v>0</v>
      </c>
      <c r="AC23" s="498">
        <f t="shared" si="13"/>
        <v>0</v>
      </c>
      <c r="AD23" s="498">
        <f t="shared" si="13"/>
        <v>0</v>
      </c>
      <c r="AE23" s="498">
        <f t="shared" si="13"/>
        <v>0</v>
      </c>
      <c r="AF23" s="498">
        <f t="shared" si="13"/>
        <v>0</v>
      </c>
      <c r="AG23" s="498">
        <f t="shared" si="13"/>
        <v>0</v>
      </c>
      <c r="AH23" s="501">
        <f t="shared" si="2"/>
        <v>31000000</v>
      </c>
      <c r="AI23" s="535"/>
      <c r="AJ23" s="535"/>
      <c r="AK23" s="536"/>
      <c r="AL23" s="536"/>
      <c r="AM23" s="536"/>
      <c r="AR23" s="285"/>
      <c r="AS23" s="285"/>
      <c r="AT23" s="285"/>
      <c r="AU23" s="285"/>
      <c r="AV23" s="285"/>
      <c r="AW23" s="285"/>
      <c r="AX23" s="285"/>
      <c r="AY23" s="285"/>
      <c r="AZ23" s="285"/>
      <c r="BA23" s="285"/>
      <c r="BB23" s="285"/>
      <c r="BC23" s="285"/>
      <c r="BD23" s="285"/>
      <c r="BE23" s="285"/>
      <c r="BF23" s="285"/>
      <c r="BG23" s="285"/>
      <c r="BH23" s="285"/>
      <c r="BI23" s="285"/>
      <c r="BJ23" s="285"/>
      <c r="BK23" s="285"/>
      <c r="BL23" s="285"/>
      <c r="BM23" s="285"/>
      <c r="BN23" s="285"/>
      <c r="BO23" s="285"/>
      <c r="BP23" s="285"/>
      <c r="BQ23" s="285"/>
      <c r="BR23" s="285"/>
      <c r="BS23" s="285"/>
      <c r="BT23" s="285"/>
      <c r="BU23" s="285"/>
      <c r="BV23" s="285"/>
    </row>
    <row r="24" spans="2:74" ht="15" customHeight="1" x14ac:dyDescent="0.2">
      <c r="B24" s="91" t="s">
        <v>7</v>
      </c>
      <c r="C24" s="92" t="s">
        <v>20</v>
      </c>
      <c r="D24" s="92" t="s">
        <v>8</v>
      </c>
      <c r="E24" s="92" t="s">
        <v>8</v>
      </c>
      <c r="F24" s="92" t="s">
        <v>14</v>
      </c>
      <c r="G24" s="92" t="s">
        <v>10</v>
      </c>
      <c r="H24" s="92"/>
      <c r="I24" s="92"/>
      <c r="J24" s="196"/>
      <c r="K24" s="91"/>
      <c r="L24" s="412" t="s">
        <v>45</v>
      </c>
      <c r="M24" s="132"/>
      <c r="N24" s="132"/>
      <c r="O24" s="155"/>
      <c r="P24" s="155"/>
      <c r="Q24" s="434">
        <f t="shared" si="12"/>
        <v>35000000</v>
      </c>
      <c r="R24" s="94">
        <f t="shared" si="12"/>
        <v>23107539</v>
      </c>
      <c r="S24" s="92"/>
      <c r="T24" s="95"/>
      <c r="U24" s="244"/>
      <c r="V24" s="497">
        <f t="shared" si="13"/>
        <v>0</v>
      </c>
      <c r="W24" s="497">
        <f t="shared" si="13"/>
        <v>0</v>
      </c>
      <c r="X24" s="498">
        <f t="shared" si="13"/>
        <v>0</v>
      </c>
      <c r="Y24" s="498">
        <f t="shared" si="13"/>
        <v>31000000</v>
      </c>
      <c r="Z24" s="498">
        <f t="shared" si="13"/>
        <v>0</v>
      </c>
      <c r="AA24" s="498">
        <f t="shared" si="13"/>
        <v>0</v>
      </c>
      <c r="AB24" s="498">
        <f t="shared" si="13"/>
        <v>0</v>
      </c>
      <c r="AC24" s="498">
        <f t="shared" si="13"/>
        <v>0</v>
      </c>
      <c r="AD24" s="498">
        <f t="shared" si="13"/>
        <v>0</v>
      </c>
      <c r="AE24" s="498">
        <f t="shared" si="13"/>
        <v>0</v>
      </c>
      <c r="AF24" s="498">
        <f t="shared" si="13"/>
        <v>0</v>
      </c>
      <c r="AG24" s="498">
        <f t="shared" si="13"/>
        <v>0</v>
      </c>
      <c r="AH24" s="501">
        <f t="shared" si="2"/>
        <v>31000000</v>
      </c>
      <c r="AI24" s="535"/>
      <c r="AJ24" s="535"/>
      <c r="AK24" s="536"/>
      <c r="AL24" s="536"/>
      <c r="AM24" s="536"/>
      <c r="AR24" s="285"/>
      <c r="AS24" s="285"/>
      <c r="AT24" s="285"/>
      <c r="AU24" s="285"/>
      <c r="AV24" s="285"/>
      <c r="AW24" s="285"/>
      <c r="AX24" s="285"/>
      <c r="AY24" s="285"/>
      <c r="AZ24" s="285"/>
      <c r="BA24" s="285"/>
      <c r="BB24" s="285"/>
      <c r="BC24" s="285"/>
      <c r="BD24" s="285"/>
      <c r="BE24" s="285"/>
      <c r="BF24" s="285"/>
      <c r="BG24" s="285"/>
      <c r="BH24" s="285"/>
      <c r="BI24" s="285"/>
      <c r="BJ24" s="285"/>
      <c r="BK24" s="285"/>
      <c r="BL24" s="285"/>
      <c r="BM24" s="285"/>
      <c r="BN24" s="285"/>
      <c r="BO24" s="285"/>
      <c r="BP24" s="285"/>
      <c r="BQ24" s="285"/>
      <c r="BR24" s="285"/>
      <c r="BS24" s="285"/>
      <c r="BT24" s="285"/>
      <c r="BU24" s="285"/>
      <c r="BV24" s="285"/>
    </row>
    <row r="25" spans="2:74" ht="15" customHeight="1" x14ac:dyDescent="0.2">
      <c r="B25" s="397" t="s">
        <v>7</v>
      </c>
      <c r="C25" s="395" t="s">
        <v>20</v>
      </c>
      <c r="D25" s="395" t="s">
        <v>8</v>
      </c>
      <c r="E25" s="395" t="s">
        <v>8</v>
      </c>
      <c r="F25" s="395" t="s">
        <v>14</v>
      </c>
      <c r="G25" s="395" t="s">
        <v>10</v>
      </c>
      <c r="H25" s="395" t="s">
        <v>23</v>
      </c>
      <c r="I25" s="395"/>
      <c r="J25" s="405"/>
      <c r="K25" s="397"/>
      <c r="L25" s="404" t="s">
        <v>46</v>
      </c>
      <c r="M25" s="133"/>
      <c r="N25" s="133"/>
      <c r="O25" s="156"/>
      <c r="P25" s="156"/>
      <c r="Q25" s="434">
        <f t="shared" si="12"/>
        <v>35000000</v>
      </c>
      <c r="R25" s="5">
        <f t="shared" si="12"/>
        <v>23107539</v>
      </c>
      <c r="S25" s="181"/>
      <c r="T25" s="396"/>
      <c r="U25" s="245"/>
      <c r="V25" s="497">
        <f t="shared" si="13"/>
        <v>0</v>
      </c>
      <c r="W25" s="497">
        <f t="shared" si="13"/>
        <v>0</v>
      </c>
      <c r="X25" s="498">
        <f t="shared" si="13"/>
        <v>0</v>
      </c>
      <c r="Y25" s="498">
        <f t="shared" si="13"/>
        <v>31000000</v>
      </c>
      <c r="Z25" s="498">
        <f t="shared" si="13"/>
        <v>0</v>
      </c>
      <c r="AA25" s="498">
        <f t="shared" si="13"/>
        <v>0</v>
      </c>
      <c r="AB25" s="498">
        <f t="shared" si="13"/>
        <v>0</v>
      </c>
      <c r="AC25" s="498">
        <f t="shared" si="13"/>
        <v>0</v>
      </c>
      <c r="AD25" s="498">
        <f t="shared" si="13"/>
        <v>0</v>
      </c>
      <c r="AE25" s="498">
        <f t="shared" si="13"/>
        <v>0</v>
      </c>
      <c r="AF25" s="498">
        <f t="shared" si="13"/>
        <v>0</v>
      </c>
      <c r="AG25" s="498">
        <f t="shared" si="13"/>
        <v>0</v>
      </c>
      <c r="AH25" s="501">
        <f t="shared" si="2"/>
        <v>31000000</v>
      </c>
      <c r="AI25" s="535"/>
      <c r="AJ25" s="535"/>
      <c r="AK25" s="536"/>
      <c r="AL25" s="536"/>
      <c r="AM25" s="536"/>
      <c r="AR25" s="285"/>
      <c r="AS25" s="285"/>
      <c r="AT25" s="285"/>
      <c r="AU25" s="285"/>
      <c r="AV25" s="285"/>
      <c r="AW25" s="285"/>
      <c r="AX25" s="285"/>
      <c r="AY25" s="285"/>
      <c r="AZ25" s="28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5"/>
      <c r="BS25" s="285"/>
      <c r="BT25" s="285"/>
      <c r="BU25" s="285"/>
      <c r="BV25" s="285"/>
    </row>
    <row r="26" spans="2:74" ht="15" customHeight="1" x14ac:dyDescent="0.2">
      <c r="B26" s="397" t="s">
        <v>7</v>
      </c>
      <c r="C26" s="395" t="s">
        <v>20</v>
      </c>
      <c r="D26" s="395" t="s">
        <v>8</v>
      </c>
      <c r="E26" s="395" t="s">
        <v>8</v>
      </c>
      <c r="F26" s="395" t="s">
        <v>14</v>
      </c>
      <c r="G26" s="395" t="s">
        <v>10</v>
      </c>
      <c r="H26" s="395" t="s">
        <v>23</v>
      </c>
      <c r="I26" s="395" t="s">
        <v>21</v>
      </c>
      <c r="J26" s="405"/>
      <c r="K26" s="397"/>
      <c r="L26" s="404" t="s">
        <v>47</v>
      </c>
      <c r="M26" s="133"/>
      <c r="N26" s="133"/>
      <c r="O26" s="156"/>
      <c r="P26" s="156"/>
      <c r="Q26" s="434">
        <f t="shared" si="12"/>
        <v>35000000</v>
      </c>
      <c r="R26" s="5">
        <f t="shared" si="12"/>
        <v>23107539</v>
      </c>
      <c r="S26" s="181"/>
      <c r="T26" s="396"/>
      <c r="U26" s="245"/>
      <c r="V26" s="497">
        <f t="shared" si="13"/>
        <v>0</v>
      </c>
      <c r="W26" s="497">
        <f t="shared" si="13"/>
        <v>0</v>
      </c>
      <c r="X26" s="498">
        <f t="shared" si="13"/>
        <v>0</v>
      </c>
      <c r="Y26" s="498">
        <f t="shared" si="13"/>
        <v>31000000</v>
      </c>
      <c r="Z26" s="498">
        <f t="shared" si="13"/>
        <v>0</v>
      </c>
      <c r="AA26" s="498">
        <f t="shared" si="13"/>
        <v>0</v>
      </c>
      <c r="AB26" s="498">
        <f t="shared" si="13"/>
        <v>0</v>
      </c>
      <c r="AC26" s="498">
        <f t="shared" si="13"/>
        <v>0</v>
      </c>
      <c r="AD26" s="498">
        <f t="shared" si="13"/>
        <v>0</v>
      </c>
      <c r="AE26" s="498">
        <f t="shared" si="13"/>
        <v>0</v>
      </c>
      <c r="AF26" s="498">
        <f t="shared" si="13"/>
        <v>0</v>
      </c>
      <c r="AG26" s="498">
        <f t="shared" si="13"/>
        <v>0</v>
      </c>
      <c r="AH26" s="501">
        <f t="shared" si="2"/>
        <v>31000000</v>
      </c>
      <c r="AI26" s="535"/>
      <c r="AJ26" s="535"/>
      <c r="AK26" s="536"/>
      <c r="AL26" s="536"/>
      <c r="AM26" s="536"/>
      <c r="AR26" s="285"/>
      <c r="AS26" s="285"/>
      <c r="AT26" s="285"/>
      <c r="AU26" s="285"/>
      <c r="AV26" s="285"/>
      <c r="AW26" s="285"/>
      <c r="AX26" s="285"/>
      <c r="AY26" s="285"/>
      <c r="AZ26" s="285"/>
      <c r="BA26" s="285"/>
      <c r="BB26" s="285"/>
      <c r="BC26" s="285"/>
      <c r="BD26" s="285"/>
      <c r="BE26" s="285"/>
      <c r="BF26" s="285"/>
      <c r="BG26" s="285"/>
      <c r="BH26" s="285"/>
      <c r="BI26" s="285"/>
      <c r="BJ26" s="285"/>
      <c r="BK26" s="285"/>
      <c r="BL26" s="285"/>
      <c r="BM26" s="285"/>
      <c r="BN26" s="285"/>
      <c r="BO26" s="285"/>
      <c r="BP26" s="285"/>
      <c r="BQ26" s="285"/>
      <c r="BR26" s="285"/>
      <c r="BS26" s="285"/>
      <c r="BT26" s="285"/>
      <c r="BU26" s="285"/>
      <c r="BV26" s="285"/>
    </row>
    <row r="27" spans="2:74" ht="15" customHeight="1" x14ac:dyDescent="0.2">
      <c r="B27" s="397" t="s">
        <v>7</v>
      </c>
      <c r="C27" s="395" t="s">
        <v>20</v>
      </c>
      <c r="D27" s="395" t="s">
        <v>8</v>
      </c>
      <c r="E27" s="395" t="s">
        <v>8</v>
      </c>
      <c r="F27" s="395" t="s">
        <v>14</v>
      </c>
      <c r="G27" s="395" t="s">
        <v>10</v>
      </c>
      <c r="H27" s="395" t="s">
        <v>23</v>
      </c>
      <c r="I27" s="395" t="s">
        <v>21</v>
      </c>
      <c r="J27" s="405" t="s">
        <v>8</v>
      </c>
      <c r="K27" s="397"/>
      <c r="L27" s="404" t="s">
        <v>48</v>
      </c>
      <c r="M27" s="133"/>
      <c r="N27" s="133"/>
      <c r="O27" s="156"/>
      <c r="P27" s="156"/>
      <c r="Q27" s="434">
        <v>35000000</v>
      </c>
      <c r="R27" s="5">
        <f>SUM(R28:R28)</f>
        <v>23107539</v>
      </c>
      <c r="S27" s="181"/>
      <c r="T27" s="396"/>
      <c r="U27" s="245"/>
      <c r="V27" s="497">
        <f t="shared" ref="V27:AG27" si="14">SUM(V28:V28)</f>
        <v>0</v>
      </c>
      <c r="W27" s="497">
        <f t="shared" si="14"/>
        <v>0</v>
      </c>
      <c r="X27" s="498">
        <f t="shared" si="14"/>
        <v>0</v>
      </c>
      <c r="Y27" s="498">
        <f t="shared" si="14"/>
        <v>31000000</v>
      </c>
      <c r="Z27" s="498">
        <f t="shared" si="14"/>
        <v>0</v>
      </c>
      <c r="AA27" s="498">
        <f t="shared" si="14"/>
        <v>0</v>
      </c>
      <c r="AB27" s="498">
        <f t="shared" si="14"/>
        <v>0</v>
      </c>
      <c r="AC27" s="498">
        <f t="shared" si="14"/>
        <v>0</v>
      </c>
      <c r="AD27" s="498">
        <f t="shared" si="14"/>
        <v>0</v>
      </c>
      <c r="AE27" s="498">
        <f t="shared" si="14"/>
        <v>0</v>
      </c>
      <c r="AF27" s="498">
        <f t="shared" si="14"/>
        <v>0</v>
      </c>
      <c r="AG27" s="498">
        <f t="shared" si="14"/>
        <v>0</v>
      </c>
      <c r="AH27" s="501">
        <f t="shared" si="2"/>
        <v>31000000</v>
      </c>
      <c r="AI27" s="535"/>
      <c r="AJ27" s="535"/>
      <c r="AK27" s="536"/>
      <c r="AL27" s="536"/>
      <c r="AM27" s="536"/>
      <c r="AR27" s="285"/>
      <c r="AS27" s="285"/>
      <c r="AT27" s="285"/>
      <c r="AU27" s="285"/>
      <c r="AV27" s="285"/>
      <c r="AW27" s="285"/>
      <c r="AX27" s="285"/>
      <c r="AY27" s="285"/>
      <c r="AZ27" s="285"/>
      <c r="BA27" s="285"/>
      <c r="BB27" s="285"/>
      <c r="BC27" s="285"/>
      <c r="BD27" s="285"/>
      <c r="BE27" s="285"/>
      <c r="BF27" s="285"/>
      <c r="BG27" s="285"/>
      <c r="BH27" s="285"/>
      <c r="BI27" s="285"/>
      <c r="BJ27" s="285"/>
      <c r="BK27" s="285"/>
      <c r="BL27" s="285"/>
      <c r="BM27" s="285"/>
      <c r="BN27" s="285"/>
      <c r="BO27" s="285"/>
      <c r="BP27" s="285"/>
      <c r="BQ27" s="285"/>
      <c r="BR27" s="285"/>
      <c r="BS27" s="285"/>
      <c r="BT27" s="285"/>
      <c r="BU27" s="285"/>
      <c r="BV27" s="285"/>
    </row>
    <row r="28" spans="2:74" ht="30" x14ac:dyDescent="0.2">
      <c r="B28" s="677"/>
      <c r="C28" s="678"/>
      <c r="D28" s="678"/>
      <c r="E28" s="678"/>
      <c r="F28" s="678"/>
      <c r="G28" s="678"/>
      <c r="H28" s="678"/>
      <c r="I28" s="678"/>
      <c r="J28" s="737"/>
      <c r="K28" s="398">
        <v>43231500</v>
      </c>
      <c r="L28" s="400" t="s">
        <v>171</v>
      </c>
      <c r="M28" s="134">
        <v>44270</v>
      </c>
      <c r="N28" s="134" t="s">
        <v>574</v>
      </c>
      <c r="O28" s="157" t="s">
        <v>294</v>
      </c>
      <c r="P28" s="157" t="s">
        <v>384</v>
      </c>
      <c r="Q28" s="434"/>
      <c r="R28" s="101">
        <f>31000000-5000000-2892461</f>
        <v>23107539</v>
      </c>
      <c r="S28" s="453" t="s">
        <v>386</v>
      </c>
      <c r="T28" s="399"/>
      <c r="U28" s="253" t="s">
        <v>181</v>
      </c>
      <c r="V28" s="497"/>
      <c r="W28" s="497"/>
      <c r="X28" s="498"/>
      <c r="Y28" s="498">
        <v>31000000</v>
      </c>
      <c r="Z28" s="498"/>
      <c r="AA28" s="498"/>
      <c r="AB28" s="498"/>
      <c r="AC28" s="498"/>
      <c r="AD28" s="498"/>
      <c r="AE28" s="498"/>
      <c r="AF28" s="498"/>
      <c r="AG28" s="498"/>
      <c r="AH28" s="501">
        <f t="shared" si="2"/>
        <v>31000000</v>
      </c>
      <c r="AI28" s="535">
        <v>16721</v>
      </c>
      <c r="AJ28" s="538">
        <v>44243</v>
      </c>
      <c r="AK28" s="536">
        <v>31000000</v>
      </c>
      <c r="AL28" s="536">
        <v>23107539</v>
      </c>
      <c r="AM28" s="536">
        <v>23107539</v>
      </c>
      <c r="AN28" s="532">
        <f>+R28-AL28</f>
        <v>0</v>
      </c>
      <c r="AO28" s="532">
        <f>+AL28-AM28</f>
        <v>0</v>
      </c>
      <c r="AP28" s="532">
        <f>R28-AL28+AO28</f>
        <v>0</v>
      </c>
      <c r="AR28" s="285"/>
      <c r="AS28" s="285"/>
      <c r="AT28" s="285"/>
      <c r="AU28" s="285"/>
      <c r="AV28" s="285"/>
      <c r="AW28" s="285"/>
      <c r="AX28" s="285"/>
      <c r="AY28" s="285"/>
      <c r="AZ28" s="285"/>
      <c r="BA28" s="285"/>
      <c r="BB28" s="285"/>
      <c r="BC28" s="285"/>
      <c r="BD28" s="285"/>
      <c r="BE28" s="285"/>
      <c r="BF28" s="285"/>
      <c r="BG28" s="285"/>
      <c r="BH28" s="285"/>
      <c r="BI28" s="285"/>
      <c r="BJ28" s="285"/>
      <c r="BK28" s="285"/>
      <c r="BL28" s="285"/>
      <c r="BM28" s="285"/>
      <c r="BN28" s="285"/>
      <c r="BO28" s="285"/>
      <c r="BP28" s="285"/>
      <c r="BQ28" s="285"/>
      <c r="BR28" s="285"/>
      <c r="BS28" s="285"/>
      <c r="BT28" s="285"/>
      <c r="BU28" s="285"/>
      <c r="BV28" s="285"/>
    </row>
    <row r="29" spans="2:74" s="18" customFormat="1" ht="15.75" customHeight="1" x14ac:dyDescent="0.25">
      <c r="B29" s="26" t="s">
        <v>7</v>
      </c>
      <c r="C29" s="27" t="s">
        <v>20</v>
      </c>
      <c r="D29" s="27" t="s">
        <v>20</v>
      </c>
      <c r="E29" s="27"/>
      <c r="F29" s="27"/>
      <c r="G29" s="27"/>
      <c r="H29" s="27"/>
      <c r="I29" s="27"/>
      <c r="J29" s="193"/>
      <c r="K29" s="26"/>
      <c r="L29" s="409" t="s">
        <v>49</v>
      </c>
      <c r="M29" s="129"/>
      <c r="N29" s="129"/>
      <c r="O29" s="152"/>
      <c r="P29" s="152"/>
      <c r="Q29" s="433">
        <f>+Q30+Q97</f>
        <v>4787000000</v>
      </c>
      <c r="R29" s="29">
        <f>+R30+R97</f>
        <v>4787000000</v>
      </c>
      <c r="S29" s="242"/>
      <c r="T29" s="30"/>
      <c r="U29" s="470">
        <f>+Q29-R29</f>
        <v>0</v>
      </c>
      <c r="V29" s="495">
        <f t="shared" ref="V29:AG29" si="15">+V30+V97</f>
        <v>83695142.857142866</v>
      </c>
      <c r="W29" s="495">
        <f t="shared" si="15"/>
        <v>118558142.85714287</v>
      </c>
      <c r="X29" s="496">
        <f t="shared" si="15"/>
        <v>244638142.85714287</v>
      </c>
      <c r="Y29" s="496">
        <f t="shared" si="15"/>
        <v>2174618142.8571429</v>
      </c>
      <c r="Z29" s="496">
        <f t="shared" si="15"/>
        <v>144348142.85714287</v>
      </c>
      <c r="AA29" s="496">
        <f t="shared" si="15"/>
        <v>189199442.85714287</v>
      </c>
      <c r="AB29" s="496">
        <f t="shared" si="15"/>
        <v>482042142.85714287</v>
      </c>
      <c r="AC29" s="496">
        <f t="shared" si="15"/>
        <v>379723000</v>
      </c>
      <c r="AD29" s="496">
        <f t="shared" si="15"/>
        <v>233454300</v>
      </c>
      <c r="AE29" s="496">
        <f t="shared" si="15"/>
        <v>185453000</v>
      </c>
      <c r="AF29" s="496">
        <f t="shared" si="15"/>
        <v>358563000</v>
      </c>
      <c r="AG29" s="496">
        <f t="shared" si="15"/>
        <v>175107400</v>
      </c>
      <c r="AH29" s="500">
        <f t="shared" si="2"/>
        <v>4769400000</v>
      </c>
      <c r="AI29" s="628"/>
      <c r="AJ29" s="628"/>
      <c r="AK29" s="536"/>
      <c r="AL29" s="536"/>
      <c r="AM29" s="536"/>
      <c r="AN29" s="531"/>
      <c r="AO29" s="531"/>
      <c r="AP29" s="531"/>
      <c r="AR29" s="655"/>
      <c r="AS29" s="655"/>
      <c r="AT29" s="655"/>
      <c r="AU29" s="655"/>
      <c r="AV29" s="655"/>
      <c r="AW29" s="655"/>
      <c r="AX29" s="655"/>
      <c r="AY29" s="655"/>
      <c r="AZ29" s="655"/>
      <c r="BA29" s="655"/>
      <c r="BB29" s="655"/>
      <c r="BC29" s="655"/>
      <c r="BD29" s="655"/>
      <c r="BE29" s="655"/>
      <c r="BF29" s="655"/>
      <c r="BG29" s="655"/>
      <c r="BH29" s="655"/>
      <c r="BI29" s="655"/>
      <c r="BJ29" s="655"/>
      <c r="BK29" s="655"/>
      <c r="BL29" s="655"/>
      <c r="BM29" s="655"/>
      <c r="BN29" s="655"/>
      <c r="BO29" s="655"/>
      <c r="BP29" s="655"/>
      <c r="BQ29" s="655"/>
      <c r="BR29" s="655"/>
      <c r="BS29" s="655"/>
      <c r="BT29" s="655"/>
      <c r="BU29" s="655"/>
      <c r="BV29" s="655"/>
    </row>
    <row r="30" spans="2:74" ht="15" customHeight="1" x14ac:dyDescent="0.2">
      <c r="B30" s="41" t="s">
        <v>7</v>
      </c>
      <c r="C30" s="42" t="s">
        <v>20</v>
      </c>
      <c r="D30" s="42" t="s">
        <v>20</v>
      </c>
      <c r="E30" s="42" t="s">
        <v>8</v>
      </c>
      <c r="F30" s="42"/>
      <c r="G30" s="42"/>
      <c r="H30" s="42"/>
      <c r="I30" s="42"/>
      <c r="J30" s="194"/>
      <c r="K30" s="41"/>
      <c r="L30" s="410" t="s">
        <v>50</v>
      </c>
      <c r="M30" s="130"/>
      <c r="N30" s="130"/>
      <c r="O30" s="153"/>
      <c r="P30" s="153"/>
      <c r="Q30" s="434">
        <f>+Q31+Q35+Q47+Q78</f>
        <v>761000000</v>
      </c>
      <c r="R30" s="44">
        <f>+R31+R35+R47+R78</f>
        <v>714670000</v>
      </c>
      <c r="S30" s="42"/>
      <c r="T30" s="45"/>
      <c r="U30" s="438"/>
      <c r="V30" s="497">
        <f t="shared" ref="V30:AG30" si="16">+V31+V35+V47+V78</f>
        <v>4600000</v>
      </c>
      <c r="W30" s="497">
        <f t="shared" si="16"/>
        <v>10200000</v>
      </c>
      <c r="X30" s="498">
        <f t="shared" si="16"/>
        <v>10200000</v>
      </c>
      <c r="Y30" s="498">
        <f t="shared" si="16"/>
        <v>80200000</v>
      </c>
      <c r="Z30" s="498">
        <f t="shared" si="16"/>
        <v>10200000</v>
      </c>
      <c r="AA30" s="498">
        <f t="shared" si="16"/>
        <v>25201300</v>
      </c>
      <c r="AB30" s="498">
        <f t="shared" si="16"/>
        <v>328450000</v>
      </c>
      <c r="AC30" s="498">
        <f t="shared" si="16"/>
        <v>149970000</v>
      </c>
      <c r="AD30" s="498">
        <f t="shared" si="16"/>
        <v>33201300</v>
      </c>
      <c r="AE30" s="498">
        <f t="shared" si="16"/>
        <v>25200000</v>
      </c>
      <c r="AF30" s="498">
        <f t="shared" si="16"/>
        <v>39900000</v>
      </c>
      <c r="AG30" s="498">
        <f t="shared" si="16"/>
        <v>29547400</v>
      </c>
      <c r="AH30" s="501">
        <f t="shared" si="2"/>
        <v>746870000</v>
      </c>
      <c r="AI30" s="535"/>
      <c r="AJ30" s="535"/>
      <c r="AK30" s="536"/>
      <c r="AL30" s="536"/>
      <c r="AM30" s="536"/>
      <c r="AR30" s="285"/>
      <c r="AS30" s="285"/>
      <c r="AT30" s="285"/>
      <c r="AU30" s="285"/>
      <c r="AV30" s="285"/>
      <c r="AW30" s="285"/>
      <c r="AX30" s="285"/>
      <c r="AY30" s="285"/>
      <c r="AZ30" s="285"/>
      <c r="BA30" s="285"/>
      <c r="BB30" s="285"/>
      <c r="BC30" s="285"/>
      <c r="BD30" s="285"/>
      <c r="BE30" s="285"/>
      <c r="BF30" s="285"/>
      <c r="BG30" s="285"/>
      <c r="BH30" s="285"/>
      <c r="BI30" s="285"/>
      <c r="BJ30" s="285"/>
      <c r="BK30" s="285"/>
      <c r="BL30" s="285"/>
      <c r="BM30" s="285"/>
      <c r="BN30" s="285"/>
      <c r="BO30" s="285"/>
      <c r="BP30" s="285"/>
      <c r="BQ30" s="285"/>
      <c r="BR30" s="285"/>
      <c r="BS30" s="285"/>
      <c r="BT30" s="285"/>
      <c r="BU30" s="285"/>
      <c r="BV30" s="285"/>
    </row>
    <row r="31" spans="2:74" ht="15" customHeight="1" x14ac:dyDescent="0.2">
      <c r="B31" s="13" t="s">
        <v>7</v>
      </c>
      <c r="C31" s="14" t="s">
        <v>20</v>
      </c>
      <c r="D31" s="14" t="s">
        <v>20</v>
      </c>
      <c r="E31" s="14" t="s">
        <v>8</v>
      </c>
      <c r="F31" s="14" t="s">
        <v>155</v>
      </c>
      <c r="G31" s="14"/>
      <c r="H31" s="14"/>
      <c r="I31" s="14"/>
      <c r="J31" s="195"/>
      <c r="K31" s="13"/>
      <c r="L31" s="411" t="s">
        <v>156</v>
      </c>
      <c r="M31" s="131"/>
      <c r="N31" s="131"/>
      <c r="O31" s="154"/>
      <c r="P31" s="154"/>
      <c r="Q31" s="434">
        <f>+Q32</f>
        <v>8000000</v>
      </c>
      <c r="R31" s="16">
        <f>+R32</f>
        <v>8434700</v>
      </c>
      <c r="S31" s="14"/>
      <c r="T31" s="17"/>
      <c r="U31" s="252"/>
      <c r="V31" s="497">
        <f t="shared" ref="V31:Z32" si="17">+V32</f>
        <v>0</v>
      </c>
      <c r="W31" s="497">
        <f t="shared" si="17"/>
        <v>0</v>
      </c>
      <c r="X31" s="498">
        <f t="shared" si="17"/>
        <v>0</v>
      </c>
      <c r="Y31" s="498">
        <f t="shared" si="17"/>
        <v>0</v>
      </c>
      <c r="Z31" s="498">
        <f t="shared" si="17"/>
        <v>0</v>
      </c>
      <c r="AA31" s="498">
        <f t="shared" ref="AA31:AG32" si="18">+AA32</f>
        <v>2812000</v>
      </c>
      <c r="AB31" s="498">
        <f t="shared" si="18"/>
        <v>0</v>
      </c>
      <c r="AC31" s="498">
        <f t="shared" si="18"/>
        <v>0</v>
      </c>
      <c r="AD31" s="498">
        <f t="shared" si="18"/>
        <v>2812000</v>
      </c>
      <c r="AE31" s="498">
        <f t="shared" si="18"/>
        <v>0</v>
      </c>
      <c r="AF31" s="498">
        <f t="shared" si="18"/>
        <v>0</v>
      </c>
      <c r="AG31" s="498">
        <f t="shared" si="18"/>
        <v>2810700</v>
      </c>
      <c r="AH31" s="501">
        <f t="shared" si="2"/>
        <v>8434700</v>
      </c>
      <c r="AI31" s="535"/>
      <c r="AJ31" s="535"/>
      <c r="AK31" s="536"/>
      <c r="AL31" s="536"/>
      <c r="AM31" s="536"/>
      <c r="AR31" s="285"/>
      <c r="AS31" s="285"/>
      <c r="AT31" s="285"/>
      <c r="AU31" s="285"/>
      <c r="AV31" s="285"/>
      <c r="AW31" s="285"/>
      <c r="AX31" s="285"/>
      <c r="AY31" s="285"/>
      <c r="AZ31" s="285"/>
      <c r="BA31" s="285"/>
      <c r="BB31" s="285"/>
      <c r="BC31" s="285"/>
      <c r="BD31" s="285"/>
      <c r="BE31" s="285"/>
      <c r="BF31" s="285"/>
      <c r="BG31" s="285"/>
      <c r="BH31" s="285"/>
      <c r="BI31" s="285"/>
      <c r="BJ31" s="285"/>
      <c r="BK31" s="285"/>
      <c r="BL31" s="285"/>
      <c r="BM31" s="285"/>
      <c r="BN31" s="285"/>
      <c r="BO31" s="285"/>
      <c r="BP31" s="285"/>
      <c r="BQ31" s="285"/>
      <c r="BR31" s="285"/>
      <c r="BS31" s="285"/>
      <c r="BT31" s="285"/>
      <c r="BU31" s="285"/>
      <c r="BV31" s="285"/>
    </row>
    <row r="32" spans="2:74" ht="15" customHeight="1" x14ac:dyDescent="0.2">
      <c r="B32" s="91" t="s">
        <v>7</v>
      </c>
      <c r="C32" s="92" t="s">
        <v>20</v>
      </c>
      <c r="D32" s="92" t="s">
        <v>20</v>
      </c>
      <c r="E32" s="92" t="s">
        <v>8</v>
      </c>
      <c r="F32" s="92" t="s">
        <v>155</v>
      </c>
      <c r="G32" s="92" t="s">
        <v>9</v>
      </c>
      <c r="H32" s="92"/>
      <c r="I32" s="92"/>
      <c r="J32" s="196"/>
      <c r="K32" s="91"/>
      <c r="L32" s="412" t="s">
        <v>157</v>
      </c>
      <c r="M32" s="132"/>
      <c r="N32" s="132"/>
      <c r="O32" s="155"/>
      <c r="P32" s="155"/>
      <c r="Q32" s="434">
        <f>+Q33</f>
        <v>8000000</v>
      </c>
      <c r="R32" s="94">
        <f>+R33</f>
        <v>8434700</v>
      </c>
      <c r="S32" s="92"/>
      <c r="T32" s="95"/>
      <c r="U32" s="244"/>
      <c r="V32" s="497">
        <f t="shared" si="17"/>
        <v>0</v>
      </c>
      <c r="W32" s="497">
        <f t="shared" si="17"/>
        <v>0</v>
      </c>
      <c r="X32" s="498">
        <f t="shared" si="17"/>
        <v>0</v>
      </c>
      <c r="Y32" s="498">
        <f t="shared" si="17"/>
        <v>0</v>
      </c>
      <c r="Z32" s="498">
        <f t="shared" si="17"/>
        <v>0</v>
      </c>
      <c r="AA32" s="498">
        <f t="shared" si="18"/>
        <v>2812000</v>
      </c>
      <c r="AB32" s="498">
        <f t="shared" si="18"/>
        <v>0</v>
      </c>
      <c r="AC32" s="498">
        <f t="shared" si="18"/>
        <v>0</v>
      </c>
      <c r="AD32" s="498">
        <f t="shared" si="18"/>
        <v>2812000</v>
      </c>
      <c r="AE32" s="498">
        <f t="shared" si="18"/>
        <v>0</v>
      </c>
      <c r="AF32" s="498">
        <f t="shared" si="18"/>
        <v>0</v>
      </c>
      <c r="AG32" s="498">
        <f t="shared" si="18"/>
        <v>2810700</v>
      </c>
      <c r="AH32" s="501">
        <f t="shared" si="2"/>
        <v>8434700</v>
      </c>
      <c r="AI32" s="535"/>
      <c r="AJ32" s="535"/>
      <c r="AK32" s="536"/>
      <c r="AL32" s="536"/>
      <c r="AM32" s="536"/>
      <c r="AR32" s="285"/>
      <c r="AS32" s="285"/>
      <c r="AT32" s="285"/>
      <c r="AU32" s="285"/>
      <c r="AV32" s="285"/>
      <c r="AW32" s="285"/>
      <c r="AX32" s="285"/>
      <c r="AY32" s="285"/>
      <c r="AZ32" s="285"/>
      <c r="BA32" s="285"/>
      <c r="BB32" s="285"/>
      <c r="BC32" s="285"/>
      <c r="BD32" s="285"/>
      <c r="BE32" s="285"/>
      <c r="BF32" s="285"/>
      <c r="BG32" s="285"/>
      <c r="BH32" s="285"/>
      <c r="BI32" s="285"/>
      <c r="BJ32" s="285"/>
      <c r="BK32" s="285"/>
      <c r="BL32" s="285"/>
      <c r="BM32" s="285"/>
      <c r="BN32" s="285"/>
      <c r="BO32" s="285"/>
      <c r="BP32" s="285"/>
      <c r="BQ32" s="285"/>
      <c r="BR32" s="285"/>
      <c r="BS32" s="285"/>
      <c r="BT32" s="285"/>
      <c r="BU32" s="285"/>
      <c r="BV32" s="285"/>
    </row>
    <row r="33" spans="2:74" ht="15" customHeight="1" x14ac:dyDescent="0.2">
      <c r="B33" s="12" t="s">
        <v>7</v>
      </c>
      <c r="C33" s="7" t="s">
        <v>20</v>
      </c>
      <c r="D33" s="7" t="s">
        <v>20</v>
      </c>
      <c r="E33" s="7" t="s">
        <v>8</v>
      </c>
      <c r="F33" s="7" t="s">
        <v>155</v>
      </c>
      <c r="G33" s="7" t="s">
        <v>9</v>
      </c>
      <c r="H33" s="7" t="s">
        <v>28</v>
      </c>
      <c r="I33" s="7"/>
      <c r="J33" s="198"/>
      <c r="K33" s="12"/>
      <c r="L33" s="413" t="s">
        <v>184</v>
      </c>
      <c r="M33" s="136"/>
      <c r="N33" s="136"/>
      <c r="O33" s="159"/>
      <c r="P33" s="159"/>
      <c r="Q33" s="434">
        <v>8000000</v>
      </c>
      <c r="R33" s="8">
        <f>SUM(R34:R34)</f>
        <v>8434700</v>
      </c>
      <c r="S33" s="185"/>
      <c r="T33" s="108"/>
      <c r="U33" s="255"/>
      <c r="V33" s="497">
        <f>SUM(V34:V34)</f>
        <v>0</v>
      </c>
      <c r="W33" s="497">
        <f>SUM(W34:W34)</f>
        <v>0</v>
      </c>
      <c r="X33" s="498">
        <f>SUM(X34:X34)</f>
        <v>0</v>
      </c>
      <c r="Y33" s="498">
        <f>SUM(Y34:Y34)</f>
        <v>0</v>
      </c>
      <c r="Z33" s="498">
        <f>SUM(Z34:Z34)</f>
        <v>0</v>
      </c>
      <c r="AA33" s="498">
        <f t="shared" ref="AA33:AG33" si="19">SUM(AA34:AA34)</f>
        <v>2812000</v>
      </c>
      <c r="AB33" s="498">
        <f t="shared" si="19"/>
        <v>0</v>
      </c>
      <c r="AC33" s="498">
        <f t="shared" si="19"/>
        <v>0</v>
      </c>
      <c r="AD33" s="498">
        <f t="shared" si="19"/>
        <v>2812000</v>
      </c>
      <c r="AE33" s="498">
        <f t="shared" si="19"/>
        <v>0</v>
      </c>
      <c r="AF33" s="498">
        <f t="shared" si="19"/>
        <v>0</v>
      </c>
      <c r="AG33" s="498">
        <f t="shared" si="19"/>
        <v>2810700</v>
      </c>
      <c r="AH33" s="501">
        <f t="shared" si="2"/>
        <v>8434700</v>
      </c>
      <c r="AI33" s="535"/>
      <c r="AJ33" s="535"/>
      <c r="AK33" s="536"/>
      <c r="AL33" s="536"/>
      <c r="AM33" s="536"/>
      <c r="AR33" s="285"/>
      <c r="AS33" s="285"/>
      <c r="AT33" s="285"/>
      <c r="AU33" s="285"/>
      <c r="AV33" s="285"/>
      <c r="AW33" s="285"/>
      <c r="AX33" s="285"/>
      <c r="AY33" s="285"/>
      <c r="AZ33" s="285"/>
      <c r="BA33" s="285"/>
      <c r="BB33" s="285"/>
      <c r="BC33" s="285"/>
      <c r="BD33" s="285"/>
      <c r="BE33" s="285"/>
      <c r="BF33" s="285"/>
      <c r="BG33" s="285"/>
      <c r="BH33" s="285"/>
      <c r="BI33" s="285"/>
      <c r="BJ33" s="285"/>
      <c r="BK33" s="285"/>
      <c r="BL33" s="285"/>
      <c r="BM33" s="285"/>
      <c r="BN33" s="285"/>
      <c r="BO33" s="285"/>
      <c r="BP33" s="285"/>
      <c r="BQ33" s="285"/>
      <c r="BR33" s="285"/>
      <c r="BS33" s="285"/>
      <c r="BT33" s="285"/>
      <c r="BU33" s="285"/>
      <c r="BV33" s="285"/>
    </row>
    <row r="34" spans="2:74" ht="30" x14ac:dyDescent="0.2">
      <c r="B34" s="677"/>
      <c r="C34" s="678"/>
      <c r="D34" s="678"/>
      <c r="E34" s="678"/>
      <c r="F34" s="678"/>
      <c r="G34" s="678"/>
      <c r="H34" s="678"/>
      <c r="I34" s="678"/>
      <c r="J34" s="678"/>
      <c r="K34" s="177">
        <v>50201700</v>
      </c>
      <c r="L34" s="400" t="s">
        <v>558</v>
      </c>
      <c r="M34" s="134">
        <v>44260</v>
      </c>
      <c r="N34" s="134" t="s">
        <v>574</v>
      </c>
      <c r="O34" s="157" t="s">
        <v>326</v>
      </c>
      <c r="P34" s="157" t="s">
        <v>360</v>
      </c>
      <c r="Q34" s="434"/>
      <c r="R34" s="564">
        <v>8434700</v>
      </c>
      <c r="S34" s="402" t="s">
        <v>386</v>
      </c>
      <c r="T34" s="399"/>
      <c r="U34" s="253" t="s">
        <v>194</v>
      </c>
      <c r="V34" s="497"/>
      <c r="W34" s="497"/>
      <c r="X34" s="498"/>
      <c r="Y34" s="498"/>
      <c r="Z34" s="498"/>
      <c r="AA34" s="498">
        <v>2812000</v>
      </c>
      <c r="AB34" s="498"/>
      <c r="AC34" s="498"/>
      <c r="AD34" s="498">
        <v>2812000</v>
      </c>
      <c r="AE34" s="498"/>
      <c r="AF34" s="498"/>
      <c r="AG34" s="498">
        <f>2809000+1700</f>
        <v>2810700</v>
      </c>
      <c r="AH34" s="501">
        <f t="shared" si="2"/>
        <v>8434700</v>
      </c>
      <c r="AI34" s="535">
        <v>41221</v>
      </c>
      <c r="AJ34" s="538">
        <v>44326</v>
      </c>
      <c r="AK34" s="536">
        <v>8434700</v>
      </c>
      <c r="AL34" s="536">
        <v>6465862.4400000004</v>
      </c>
      <c r="AM34" s="536">
        <v>6465862.4400000004</v>
      </c>
      <c r="AN34" s="532">
        <f>+R34-AL34</f>
        <v>1968837.5599999996</v>
      </c>
      <c r="AO34" s="532">
        <f>+AL34-AM34</f>
        <v>0</v>
      </c>
      <c r="AP34" s="533">
        <f>R34-AL34+AO34</f>
        <v>1968837.5599999996</v>
      </c>
      <c r="AQ34" s="440"/>
      <c r="AR34" s="656"/>
      <c r="AS34" s="285"/>
      <c r="AT34" s="285"/>
      <c r="AU34" s="285"/>
      <c r="AV34" s="285"/>
      <c r="AW34" s="285"/>
      <c r="AX34" s="285"/>
      <c r="AY34" s="285"/>
      <c r="AZ34" s="285"/>
      <c r="BA34" s="285"/>
      <c r="BB34" s="285"/>
      <c r="BC34" s="285"/>
      <c r="BD34" s="285"/>
      <c r="BE34" s="285"/>
      <c r="BF34" s="285"/>
      <c r="BG34" s="285"/>
      <c r="BH34" s="285"/>
      <c r="BI34" s="285"/>
      <c r="BJ34" s="285"/>
      <c r="BK34" s="285"/>
      <c r="BL34" s="285"/>
      <c r="BM34" s="285"/>
      <c r="BN34" s="285"/>
      <c r="BO34" s="285"/>
      <c r="BP34" s="285"/>
      <c r="BQ34" s="285"/>
      <c r="BR34" s="285"/>
      <c r="BS34" s="285"/>
      <c r="BT34" s="285"/>
      <c r="BU34" s="285"/>
      <c r="BV34" s="285"/>
    </row>
    <row r="35" spans="2:74" ht="30" customHeight="1" x14ac:dyDescent="0.2">
      <c r="B35" s="13" t="s">
        <v>7</v>
      </c>
      <c r="C35" s="14" t="s">
        <v>20</v>
      </c>
      <c r="D35" s="14" t="s">
        <v>20</v>
      </c>
      <c r="E35" s="14" t="s">
        <v>8</v>
      </c>
      <c r="F35" s="14" t="s">
        <v>10</v>
      </c>
      <c r="G35" s="14"/>
      <c r="H35" s="14"/>
      <c r="I35" s="14"/>
      <c r="J35" s="195"/>
      <c r="K35" s="13"/>
      <c r="L35" s="411" t="s">
        <v>51</v>
      </c>
      <c r="M35" s="131"/>
      <c r="N35" s="131"/>
      <c r="O35" s="154"/>
      <c r="P35" s="154"/>
      <c r="Q35" s="434">
        <f>+Q36+Q44+Q41</f>
        <v>162600000</v>
      </c>
      <c r="R35" s="16">
        <f>+R36+R44+R41</f>
        <v>234251400</v>
      </c>
      <c r="S35" s="14"/>
      <c r="T35" s="17"/>
      <c r="U35" s="252"/>
      <c r="V35" s="497">
        <f t="shared" ref="V35:AF35" si="20">+V36+V44+V41</f>
        <v>0</v>
      </c>
      <c r="W35" s="497">
        <f t="shared" si="20"/>
        <v>0</v>
      </c>
      <c r="X35" s="498">
        <f t="shared" si="20"/>
        <v>0</v>
      </c>
      <c r="Y35" s="498">
        <f t="shared" si="20"/>
        <v>0</v>
      </c>
      <c r="Z35" s="498">
        <f t="shared" si="20"/>
        <v>0</v>
      </c>
      <c r="AA35" s="498">
        <f t="shared" si="20"/>
        <v>2519300</v>
      </c>
      <c r="AB35" s="498">
        <f t="shared" si="20"/>
        <v>166096000</v>
      </c>
      <c r="AC35" s="498">
        <f t="shared" si="20"/>
        <v>70600000</v>
      </c>
      <c r="AD35" s="498">
        <f t="shared" si="20"/>
        <v>2519300</v>
      </c>
      <c r="AE35" s="498">
        <f t="shared" si="20"/>
        <v>0</v>
      </c>
      <c r="AF35" s="498">
        <f t="shared" si="20"/>
        <v>0</v>
      </c>
      <c r="AG35" s="498">
        <f t="shared" ref="AG35" si="21">+AG36+AG44+AG41</f>
        <v>2516800</v>
      </c>
      <c r="AH35" s="501">
        <f t="shared" si="2"/>
        <v>244251400</v>
      </c>
      <c r="AI35" s="535"/>
      <c r="AJ35" s="535"/>
      <c r="AK35" s="536"/>
      <c r="AL35" s="536"/>
      <c r="AM35" s="536"/>
      <c r="AP35" s="440"/>
      <c r="AR35" s="285"/>
      <c r="AS35" s="285"/>
      <c r="AT35" s="285"/>
      <c r="AU35" s="285"/>
      <c r="AV35" s="285"/>
      <c r="AW35" s="285"/>
      <c r="AX35" s="285"/>
      <c r="AY35" s="285"/>
      <c r="AZ35" s="285"/>
      <c r="BA35" s="285"/>
      <c r="BB35" s="285"/>
      <c r="BC35" s="285"/>
      <c r="BD35" s="285"/>
      <c r="BE35" s="285"/>
      <c r="BF35" s="285"/>
      <c r="BG35" s="285"/>
      <c r="BH35" s="285"/>
      <c r="BI35" s="285"/>
      <c r="BJ35" s="285"/>
      <c r="BK35" s="285"/>
      <c r="BL35" s="285"/>
      <c r="BM35" s="285"/>
      <c r="BN35" s="285"/>
      <c r="BO35" s="285"/>
      <c r="BP35" s="285"/>
      <c r="BQ35" s="285"/>
      <c r="BR35" s="285"/>
      <c r="BS35" s="285"/>
      <c r="BT35" s="285"/>
      <c r="BU35" s="285"/>
      <c r="BV35" s="285"/>
    </row>
    <row r="36" spans="2:74" ht="30" customHeight="1" x14ac:dyDescent="0.2">
      <c r="B36" s="91" t="s">
        <v>7</v>
      </c>
      <c r="C36" s="92" t="s">
        <v>20</v>
      </c>
      <c r="D36" s="92" t="s">
        <v>20</v>
      </c>
      <c r="E36" s="92" t="s">
        <v>8</v>
      </c>
      <c r="F36" s="92" t="s">
        <v>10</v>
      </c>
      <c r="G36" s="92" t="s">
        <v>11</v>
      </c>
      <c r="H36" s="92"/>
      <c r="I36" s="92"/>
      <c r="J36" s="196"/>
      <c r="K36" s="91"/>
      <c r="L36" s="412" t="s">
        <v>52</v>
      </c>
      <c r="M36" s="132"/>
      <c r="N36" s="132"/>
      <c r="O36" s="155"/>
      <c r="P36" s="155"/>
      <c r="Q36" s="434">
        <v>18200000</v>
      </c>
      <c r="R36" s="94">
        <f>+R37+R39</f>
        <v>7188500</v>
      </c>
      <c r="S36" s="92"/>
      <c r="T36" s="95"/>
      <c r="U36" s="244"/>
      <c r="V36" s="497">
        <f>+V37+V39</f>
        <v>0</v>
      </c>
      <c r="W36" s="497">
        <f>+W37+W39</f>
        <v>0</v>
      </c>
      <c r="X36" s="498">
        <f>+X37+X39</f>
        <v>0</v>
      </c>
      <c r="Y36" s="498">
        <f>+Y37+Y39</f>
        <v>0</v>
      </c>
      <c r="Z36" s="498">
        <f>+Z37+Z39</f>
        <v>0</v>
      </c>
      <c r="AA36" s="498">
        <f t="shared" ref="AA36:AF36" si="22">+AA37+AA39</f>
        <v>2397000</v>
      </c>
      <c r="AB36" s="498">
        <f t="shared" si="22"/>
        <v>0</v>
      </c>
      <c r="AC36" s="498">
        <f t="shared" si="22"/>
        <v>0</v>
      </c>
      <c r="AD36" s="498">
        <f t="shared" si="22"/>
        <v>2397000</v>
      </c>
      <c r="AE36" s="498">
        <f t="shared" si="22"/>
        <v>0</v>
      </c>
      <c r="AF36" s="498">
        <f t="shared" si="22"/>
        <v>0</v>
      </c>
      <c r="AG36" s="498">
        <f t="shared" ref="AG36" si="23">+AG37+AG39</f>
        <v>2394500</v>
      </c>
      <c r="AH36" s="501">
        <f t="shared" si="2"/>
        <v>7188500</v>
      </c>
      <c r="AI36" s="535"/>
      <c r="AJ36" s="535"/>
      <c r="AK36" s="536"/>
      <c r="AL36" s="536"/>
      <c r="AM36" s="536"/>
      <c r="AR36" s="285"/>
      <c r="AS36" s="285"/>
      <c r="AT36" s="285"/>
      <c r="AU36" s="285"/>
      <c r="AV36" s="285"/>
      <c r="AW36" s="285"/>
      <c r="AX36" s="285"/>
      <c r="AY36" s="285"/>
      <c r="AZ36" s="285"/>
      <c r="BA36" s="285"/>
      <c r="BB36" s="285"/>
      <c r="BC36" s="285"/>
      <c r="BD36" s="285"/>
      <c r="BE36" s="285"/>
      <c r="BF36" s="285"/>
      <c r="BG36" s="285"/>
      <c r="BH36" s="285"/>
      <c r="BI36" s="285"/>
      <c r="BJ36" s="285"/>
      <c r="BK36" s="285"/>
      <c r="BL36" s="285"/>
      <c r="BM36" s="285"/>
      <c r="BN36" s="285"/>
      <c r="BO36" s="285"/>
      <c r="BP36" s="285"/>
      <c r="BQ36" s="285"/>
      <c r="BR36" s="285"/>
      <c r="BS36" s="285"/>
      <c r="BT36" s="285"/>
      <c r="BU36" s="285"/>
      <c r="BV36" s="285"/>
    </row>
    <row r="37" spans="2:74" ht="15" customHeight="1" x14ac:dyDescent="0.2">
      <c r="B37" s="397" t="s">
        <v>7</v>
      </c>
      <c r="C37" s="395" t="s">
        <v>20</v>
      </c>
      <c r="D37" s="395" t="s">
        <v>20</v>
      </c>
      <c r="E37" s="395" t="s">
        <v>8</v>
      </c>
      <c r="F37" s="395" t="s">
        <v>10</v>
      </c>
      <c r="G37" s="395" t="s">
        <v>11</v>
      </c>
      <c r="H37" s="395" t="s">
        <v>27</v>
      </c>
      <c r="I37" s="395"/>
      <c r="J37" s="405"/>
      <c r="K37" s="397"/>
      <c r="L37" s="404" t="s">
        <v>53</v>
      </c>
      <c r="M37" s="133"/>
      <c r="N37" s="133"/>
      <c r="O37" s="156"/>
      <c r="P37" s="156"/>
      <c r="Q37" s="434"/>
      <c r="R37" s="5">
        <f>SUM(R38:R38)</f>
        <v>2500000</v>
      </c>
      <c r="S37" s="181"/>
      <c r="T37" s="396"/>
      <c r="U37" s="245"/>
      <c r="V37" s="497">
        <f>SUM(V38:V38)</f>
        <v>0</v>
      </c>
      <c r="W37" s="497">
        <f>SUM(W38:W38)</f>
        <v>0</v>
      </c>
      <c r="X37" s="498">
        <f>SUM(X38:X38)</f>
        <v>0</v>
      </c>
      <c r="Y37" s="498">
        <f>SUM(Y38:Y38)</f>
        <v>0</v>
      </c>
      <c r="Z37" s="498">
        <f>SUM(Z38:Z38)</f>
        <v>0</v>
      </c>
      <c r="AA37" s="498">
        <f t="shared" ref="AA37:AG37" si="24">SUM(AA38:AA38)</f>
        <v>834000</v>
      </c>
      <c r="AB37" s="498">
        <f t="shared" si="24"/>
        <v>0</v>
      </c>
      <c r="AC37" s="498">
        <f t="shared" si="24"/>
        <v>0</v>
      </c>
      <c r="AD37" s="498">
        <f t="shared" si="24"/>
        <v>834000</v>
      </c>
      <c r="AE37" s="498">
        <f t="shared" si="24"/>
        <v>0</v>
      </c>
      <c r="AF37" s="498">
        <f t="shared" si="24"/>
        <v>0</v>
      </c>
      <c r="AG37" s="498">
        <f t="shared" si="24"/>
        <v>832000</v>
      </c>
      <c r="AH37" s="501">
        <f t="shared" si="2"/>
        <v>2500000</v>
      </c>
      <c r="AI37" s="535"/>
      <c r="AJ37" s="535"/>
      <c r="AK37" s="536"/>
      <c r="AL37" s="536"/>
      <c r="AM37" s="536"/>
      <c r="AR37" s="285"/>
      <c r="AS37" s="285"/>
      <c r="AT37" s="285"/>
      <c r="AU37" s="285"/>
      <c r="AV37" s="285"/>
      <c r="AW37" s="285"/>
      <c r="AX37" s="285"/>
      <c r="AY37" s="285"/>
      <c r="AZ37" s="285"/>
      <c r="BA37" s="285"/>
      <c r="BB37" s="285"/>
      <c r="BC37" s="285"/>
      <c r="BD37" s="285"/>
      <c r="BE37" s="285"/>
      <c r="BF37" s="285"/>
      <c r="BG37" s="285"/>
      <c r="BH37" s="285"/>
      <c r="BI37" s="285"/>
      <c r="BJ37" s="285"/>
      <c r="BK37" s="285"/>
      <c r="BL37" s="285"/>
      <c r="BM37" s="285"/>
      <c r="BN37" s="285"/>
      <c r="BO37" s="285"/>
      <c r="BP37" s="285"/>
      <c r="BQ37" s="285"/>
      <c r="BR37" s="285"/>
      <c r="BS37" s="285"/>
      <c r="BT37" s="285"/>
      <c r="BU37" s="285"/>
      <c r="BV37" s="285"/>
    </row>
    <row r="38" spans="2:74" ht="30" x14ac:dyDescent="0.2">
      <c r="B38" s="677"/>
      <c r="C38" s="678"/>
      <c r="D38" s="678"/>
      <c r="E38" s="678"/>
      <c r="F38" s="678"/>
      <c r="G38" s="678"/>
      <c r="H38" s="678"/>
      <c r="I38" s="678"/>
      <c r="J38" s="678"/>
      <c r="K38" s="177">
        <v>50161500</v>
      </c>
      <c r="L38" s="400" t="s">
        <v>559</v>
      </c>
      <c r="M38" s="134">
        <v>44260</v>
      </c>
      <c r="N38" s="134" t="s">
        <v>574</v>
      </c>
      <c r="O38" s="157" t="s">
        <v>326</v>
      </c>
      <c r="P38" s="157" t="s">
        <v>360</v>
      </c>
      <c r="Q38" s="434"/>
      <c r="R38" s="564">
        <v>2500000</v>
      </c>
      <c r="S38" s="402" t="s">
        <v>386</v>
      </c>
      <c r="T38" s="399"/>
      <c r="U38" s="253" t="s">
        <v>194</v>
      </c>
      <c r="V38" s="497"/>
      <c r="W38" s="497"/>
      <c r="X38" s="498"/>
      <c r="Y38" s="498"/>
      <c r="Z38" s="498"/>
      <c r="AA38" s="498">
        <v>834000</v>
      </c>
      <c r="AB38" s="498"/>
      <c r="AC38" s="498"/>
      <c r="AD38" s="498">
        <v>834000</v>
      </c>
      <c r="AE38" s="498"/>
      <c r="AF38" s="498"/>
      <c r="AG38" s="498">
        <v>832000</v>
      </c>
      <c r="AH38" s="501">
        <f t="shared" si="2"/>
        <v>2500000</v>
      </c>
      <c r="AI38" s="721">
        <v>41221</v>
      </c>
      <c r="AJ38" s="726">
        <v>44326</v>
      </c>
      <c r="AK38" s="711">
        <v>7188500</v>
      </c>
      <c r="AL38" s="711">
        <v>7168940</v>
      </c>
      <c r="AM38" s="711">
        <v>7168940</v>
      </c>
      <c r="AN38" s="717">
        <f>(R38+R40)-AL38</f>
        <v>19560</v>
      </c>
      <c r="AO38" s="717">
        <f>+AL38-AM38</f>
        <v>0</v>
      </c>
      <c r="AP38" s="727">
        <f>(R38+R40)-AL38+AO38</f>
        <v>19560</v>
      </c>
      <c r="AQ38" s="527">
        <f>+AL34+AL38+AL42+AL51+AL61+AL66+AL73</f>
        <v>39554803.299999997</v>
      </c>
      <c r="AR38" s="285"/>
      <c r="AS38" s="285"/>
      <c r="AT38" s="285"/>
      <c r="AU38" s="285"/>
      <c r="AV38" s="285"/>
      <c r="AW38" s="285"/>
      <c r="AX38" s="285"/>
      <c r="AY38" s="285"/>
      <c r="AZ38" s="285"/>
      <c r="BA38" s="285"/>
      <c r="BB38" s="285"/>
      <c r="BC38" s="285"/>
      <c r="BD38" s="285"/>
      <c r="BE38" s="285"/>
      <c r="BF38" s="285"/>
      <c r="BG38" s="285"/>
      <c r="BH38" s="285"/>
      <c r="BI38" s="285"/>
      <c r="BJ38" s="285"/>
      <c r="BK38" s="285"/>
      <c r="BL38" s="285"/>
      <c r="BM38" s="285"/>
      <c r="BN38" s="285"/>
      <c r="BO38" s="285"/>
      <c r="BP38" s="285"/>
      <c r="BQ38" s="285"/>
      <c r="BR38" s="285"/>
      <c r="BS38" s="285"/>
      <c r="BT38" s="285"/>
      <c r="BU38" s="285"/>
      <c r="BV38" s="285"/>
    </row>
    <row r="39" spans="2:74" ht="15" customHeight="1" x14ac:dyDescent="0.2">
      <c r="B39" s="397" t="s">
        <v>7</v>
      </c>
      <c r="C39" s="395" t="s">
        <v>20</v>
      </c>
      <c r="D39" s="395" t="s">
        <v>20</v>
      </c>
      <c r="E39" s="395" t="s">
        <v>8</v>
      </c>
      <c r="F39" s="395" t="s">
        <v>10</v>
      </c>
      <c r="G39" s="395" t="s">
        <v>11</v>
      </c>
      <c r="H39" s="395" t="s">
        <v>30</v>
      </c>
      <c r="I39" s="395"/>
      <c r="J39" s="405"/>
      <c r="K39" s="397"/>
      <c r="L39" s="404" t="s">
        <v>54</v>
      </c>
      <c r="M39" s="133"/>
      <c r="N39" s="133"/>
      <c r="O39" s="156"/>
      <c r="P39" s="156"/>
      <c r="Q39" s="434"/>
      <c r="R39" s="5">
        <f>SUM(R40:R40)</f>
        <v>4688500</v>
      </c>
      <c r="S39" s="181"/>
      <c r="T39" s="396"/>
      <c r="U39" s="245"/>
      <c r="V39" s="497">
        <f>SUM(V40:V40)</f>
        <v>0</v>
      </c>
      <c r="W39" s="497">
        <f>SUM(W40:W40)</f>
        <v>0</v>
      </c>
      <c r="X39" s="498">
        <f>SUM(X40:X40)</f>
        <v>0</v>
      </c>
      <c r="Y39" s="498">
        <f>SUM(Y40:Y40)</f>
        <v>0</v>
      </c>
      <c r="Z39" s="498">
        <f>SUM(Z40:Z40)</f>
        <v>0</v>
      </c>
      <c r="AA39" s="498">
        <f t="shared" ref="AA39:AG39" si="25">SUM(AA40:AA40)</f>
        <v>1563000</v>
      </c>
      <c r="AB39" s="498">
        <f t="shared" si="25"/>
        <v>0</v>
      </c>
      <c r="AC39" s="498">
        <f t="shared" si="25"/>
        <v>0</v>
      </c>
      <c r="AD39" s="498">
        <f t="shared" si="25"/>
        <v>1563000</v>
      </c>
      <c r="AE39" s="498">
        <f t="shared" si="25"/>
        <v>0</v>
      </c>
      <c r="AF39" s="498">
        <f t="shared" si="25"/>
        <v>0</v>
      </c>
      <c r="AG39" s="498">
        <f t="shared" si="25"/>
        <v>1562500</v>
      </c>
      <c r="AH39" s="501">
        <f t="shared" si="2"/>
        <v>4688500</v>
      </c>
      <c r="AI39" s="721"/>
      <c r="AJ39" s="726"/>
      <c r="AK39" s="711"/>
      <c r="AL39" s="711"/>
      <c r="AM39" s="711"/>
      <c r="AN39" s="717"/>
      <c r="AO39" s="717"/>
      <c r="AP39" s="727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</row>
    <row r="40" spans="2:74" ht="30" x14ac:dyDescent="0.2">
      <c r="B40" s="677"/>
      <c r="C40" s="678"/>
      <c r="D40" s="678"/>
      <c r="E40" s="678"/>
      <c r="F40" s="678"/>
      <c r="G40" s="678"/>
      <c r="H40" s="678"/>
      <c r="I40" s="678"/>
      <c r="J40" s="678"/>
      <c r="K40" s="398">
        <v>50161500</v>
      </c>
      <c r="L40" s="400" t="s">
        <v>560</v>
      </c>
      <c r="M40" s="134">
        <v>44260</v>
      </c>
      <c r="N40" s="134" t="s">
        <v>574</v>
      </c>
      <c r="O40" s="157" t="s">
        <v>326</v>
      </c>
      <c r="P40" s="157" t="s">
        <v>360</v>
      </c>
      <c r="Q40" s="434"/>
      <c r="R40" s="564">
        <v>4688500</v>
      </c>
      <c r="S40" s="453" t="s">
        <v>386</v>
      </c>
      <c r="T40" s="399"/>
      <c r="U40" s="253" t="s">
        <v>194</v>
      </c>
      <c r="V40" s="497"/>
      <c r="W40" s="497"/>
      <c r="X40" s="498"/>
      <c r="Y40" s="498"/>
      <c r="Z40" s="498"/>
      <c r="AA40" s="498">
        <v>1563000</v>
      </c>
      <c r="AB40" s="498"/>
      <c r="AC40" s="498"/>
      <c r="AD40" s="498">
        <v>1563000</v>
      </c>
      <c r="AE40" s="498"/>
      <c r="AF40" s="498"/>
      <c r="AG40" s="498">
        <v>1562500</v>
      </c>
      <c r="AH40" s="501">
        <f t="shared" si="2"/>
        <v>4688500</v>
      </c>
      <c r="AI40" s="721"/>
      <c r="AJ40" s="726"/>
      <c r="AK40" s="711"/>
      <c r="AL40" s="711"/>
      <c r="AM40" s="711"/>
      <c r="AN40" s="717"/>
      <c r="AO40" s="717"/>
      <c r="AP40" s="727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</row>
    <row r="41" spans="2:74" ht="15" customHeight="1" x14ac:dyDescent="0.2">
      <c r="B41" s="91" t="s">
        <v>7</v>
      </c>
      <c r="C41" s="92" t="s">
        <v>20</v>
      </c>
      <c r="D41" s="92" t="s">
        <v>20</v>
      </c>
      <c r="E41" s="92" t="s">
        <v>8</v>
      </c>
      <c r="F41" s="92" t="s">
        <v>10</v>
      </c>
      <c r="G41" s="92" t="s">
        <v>15</v>
      </c>
      <c r="H41" s="92"/>
      <c r="I41" s="92"/>
      <c r="J41" s="196"/>
      <c r="K41" s="91"/>
      <c r="L41" s="412" t="s">
        <v>55</v>
      </c>
      <c r="M41" s="132"/>
      <c r="N41" s="132"/>
      <c r="O41" s="155"/>
      <c r="P41" s="155"/>
      <c r="Q41" s="434">
        <v>11400000</v>
      </c>
      <c r="R41" s="94">
        <f>SUM(R42:R43)</f>
        <v>66619900</v>
      </c>
      <c r="S41" s="186"/>
      <c r="T41" s="95"/>
      <c r="U41" s="244"/>
      <c r="V41" s="497">
        <f t="shared" ref="V41:AF41" si="26">SUM(V42:V43)</f>
        <v>0</v>
      </c>
      <c r="W41" s="497">
        <f t="shared" si="26"/>
        <v>0</v>
      </c>
      <c r="X41" s="498">
        <f t="shared" si="26"/>
        <v>0</v>
      </c>
      <c r="Y41" s="498">
        <f t="shared" si="26"/>
        <v>0</v>
      </c>
      <c r="Z41" s="498">
        <f t="shared" si="26"/>
        <v>0</v>
      </c>
      <c r="AA41" s="498">
        <f t="shared" si="26"/>
        <v>122300</v>
      </c>
      <c r="AB41" s="498">
        <f t="shared" si="26"/>
        <v>66253000</v>
      </c>
      <c r="AC41" s="498">
        <f t="shared" si="26"/>
        <v>0</v>
      </c>
      <c r="AD41" s="498">
        <f t="shared" si="26"/>
        <v>122300</v>
      </c>
      <c r="AE41" s="498">
        <f t="shared" si="26"/>
        <v>0</v>
      </c>
      <c r="AF41" s="498">
        <f t="shared" si="26"/>
        <v>0</v>
      </c>
      <c r="AG41" s="498">
        <f t="shared" ref="AG41" si="27">SUM(AG42:AG43)</f>
        <v>122300</v>
      </c>
      <c r="AH41" s="501">
        <f t="shared" si="2"/>
        <v>66619900</v>
      </c>
      <c r="AI41" s="535"/>
      <c r="AJ41" s="535"/>
      <c r="AK41" s="536"/>
      <c r="AL41" s="536"/>
      <c r="AM41" s="536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</row>
    <row r="42" spans="2:74" ht="63.75" customHeight="1" x14ac:dyDescent="0.2">
      <c r="B42" s="677"/>
      <c r="C42" s="678"/>
      <c r="D42" s="678"/>
      <c r="E42" s="678"/>
      <c r="F42" s="678"/>
      <c r="G42" s="678"/>
      <c r="H42" s="678"/>
      <c r="I42" s="678"/>
      <c r="J42" s="678"/>
      <c r="K42" s="398">
        <v>14121500</v>
      </c>
      <c r="L42" s="400" t="s">
        <v>561</v>
      </c>
      <c r="M42" s="134">
        <v>44260</v>
      </c>
      <c r="N42" s="134" t="s">
        <v>574</v>
      </c>
      <c r="O42" s="157" t="s">
        <v>326</v>
      </c>
      <c r="P42" s="157" t="s">
        <v>360</v>
      </c>
      <c r="Q42" s="434"/>
      <c r="R42" s="564">
        <v>366900</v>
      </c>
      <c r="S42" s="402" t="s">
        <v>386</v>
      </c>
      <c r="T42" s="399"/>
      <c r="U42" s="253" t="s">
        <v>194</v>
      </c>
      <c r="V42" s="497"/>
      <c r="W42" s="497"/>
      <c r="X42" s="498"/>
      <c r="Y42" s="498"/>
      <c r="Z42" s="498"/>
      <c r="AA42" s="498">
        <v>122300</v>
      </c>
      <c r="AB42" s="498"/>
      <c r="AC42" s="498"/>
      <c r="AD42" s="498">
        <v>122300</v>
      </c>
      <c r="AE42" s="498"/>
      <c r="AF42" s="498"/>
      <c r="AG42" s="498">
        <v>122300</v>
      </c>
      <c r="AH42" s="501">
        <f t="shared" si="2"/>
        <v>366900</v>
      </c>
      <c r="AI42" s="535">
        <v>41221</v>
      </c>
      <c r="AJ42" s="538">
        <f>+AJ38</f>
        <v>44326</v>
      </c>
      <c r="AK42" s="536">
        <v>366900</v>
      </c>
      <c r="AL42" s="536">
        <v>310095.86</v>
      </c>
      <c r="AM42" s="536">
        <v>310095.86</v>
      </c>
      <c r="AN42" s="532">
        <f>+R42-AL42</f>
        <v>56804.140000000014</v>
      </c>
      <c r="AO42" s="532">
        <f>+AL42-AM42</f>
        <v>0</v>
      </c>
      <c r="AP42" s="533">
        <f>R42-AL42+AO42</f>
        <v>56804.140000000014</v>
      </c>
      <c r="AQ42" s="440"/>
      <c r="AR42" s="285"/>
      <c r="AS42" s="285"/>
      <c r="AT42" s="285"/>
      <c r="AU42" s="285"/>
      <c r="AV42" s="285"/>
      <c r="AW42" s="285"/>
      <c r="AX42" s="285"/>
      <c r="AY42" s="285"/>
      <c r="AZ42" s="285"/>
      <c r="BA42" s="285"/>
      <c r="BB42" s="285"/>
      <c r="BC42" s="285"/>
      <c r="BD42" s="285"/>
      <c r="BE42" s="285"/>
      <c r="BF42" s="285"/>
      <c r="BG42" s="285"/>
      <c r="BH42" s="285"/>
      <c r="BI42" s="285"/>
      <c r="BJ42" s="285"/>
      <c r="BK42" s="285"/>
      <c r="BL42" s="285"/>
      <c r="BM42" s="285"/>
      <c r="BN42" s="285"/>
      <c r="BO42" s="285"/>
      <c r="BP42" s="285"/>
      <c r="BQ42" s="285"/>
      <c r="BR42" s="285"/>
      <c r="BS42" s="285"/>
      <c r="BT42" s="285"/>
      <c r="BU42" s="285"/>
      <c r="BV42" s="285"/>
    </row>
    <row r="43" spans="2:74" ht="120" customHeight="1" x14ac:dyDescent="0.2">
      <c r="B43" s="682"/>
      <c r="C43" s="683"/>
      <c r="D43" s="683"/>
      <c r="E43" s="683"/>
      <c r="F43" s="683"/>
      <c r="G43" s="683"/>
      <c r="H43" s="683"/>
      <c r="I43" s="683"/>
      <c r="J43" s="683"/>
      <c r="K43" s="177" t="s">
        <v>488</v>
      </c>
      <c r="L43" s="451" t="s">
        <v>277</v>
      </c>
      <c r="M43" s="134">
        <v>44319</v>
      </c>
      <c r="N43" s="134" t="s">
        <v>575</v>
      </c>
      <c r="O43" s="157" t="s">
        <v>491</v>
      </c>
      <c r="P43" s="157" t="s">
        <v>483</v>
      </c>
      <c r="Q43" s="434"/>
      <c r="R43" s="101">
        <v>66253000</v>
      </c>
      <c r="S43" s="453" t="s">
        <v>386</v>
      </c>
      <c r="T43" s="399"/>
      <c r="U43" s="253" t="s">
        <v>466</v>
      </c>
      <c r="V43" s="497"/>
      <c r="W43" s="497"/>
      <c r="X43" s="498"/>
      <c r="Y43" s="498"/>
      <c r="Z43" s="498"/>
      <c r="AA43" s="498"/>
      <c r="AB43" s="498">
        <v>66253000</v>
      </c>
      <c r="AC43" s="498"/>
      <c r="AD43" s="498"/>
      <c r="AE43" s="498"/>
      <c r="AF43" s="498"/>
      <c r="AG43" s="498"/>
      <c r="AH43" s="501">
        <f t="shared" si="2"/>
        <v>66253000</v>
      </c>
      <c r="AI43" s="535">
        <v>63121</v>
      </c>
      <c r="AJ43" s="538">
        <v>44425</v>
      </c>
      <c r="AK43" s="536">
        <v>66253000</v>
      </c>
      <c r="AL43" s="536">
        <v>29171660</v>
      </c>
      <c r="AM43" s="536">
        <v>29171660</v>
      </c>
      <c r="AN43" s="532">
        <f>+R43-AL43</f>
        <v>37081340</v>
      </c>
      <c r="AO43" s="532">
        <f>+AL43-AM43</f>
        <v>0</v>
      </c>
      <c r="AP43" s="533">
        <f>R43-AL43+AO43</f>
        <v>37081340</v>
      </c>
      <c r="AR43" s="285"/>
      <c r="AS43" s="285"/>
      <c r="AT43" s="285"/>
      <c r="AU43" s="285"/>
      <c r="AV43" s="285"/>
      <c r="AW43" s="285"/>
      <c r="AX43" s="285"/>
      <c r="AY43" s="285"/>
      <c r="AZ43" s="285"/>
      <c r="BA43" s="285"/>
      <c r="BB43" s="285"/>
      <c r="BC43" s="285"/>
      <c r="BD43" s="285"/>
      <c r="BE43" s="285"/>
      <c r="BF43" s="285"/>
      <c r="BG43" s="285"/>
      <c r="BH43" s="285"/>
      <c r="BI43" s="285"/>
      <c r="BJ43" s="285"/>
      <c r="BK43" s="285"/>
      <c r="BL43" s="285"/>
      <c r="BM43" s="285"/>
      <c r="BN43" s="285"/>
      <c r="BO43" s="285"/>
      <c r="BP43" s="285"/>
      <c r="BQ43" s="285"/>
      <c r="BR43" s="285"/>
      <c r="BS43" s="285"/>
      <c r="BT43" s="285"/>
      <c r="BU43" s="285"/>
      <c r="BV43" s="285"/>
    </row>
    <row r="44" spans="2:74" ht="15" customHeight="1" x14ac:dyDescent="0.2">
      <c r="B44" s="91" t="s">
        <v>7</v>
      </c>
      <c r="C44" s="92" t="s">
        <v>20</v>
      </c>
      <c r="D44" s="92" t="s">
        <v>20</v>
      </c>
      <c r="E44" s="92" t="s">
        <v>8</v>
      </c>
      <c r="F44" s="92" t="s">
        <v>10</v>
      </c>
      <c r="G44" s="92" t="s">
        <v>16</v>
      </c>
      <c r="H44" s="92"/>
      <c r="I44" s="92"/>
      <c r="J44" s="196"/>
      <c r="K44" s="91"/>
      <c r="L44" s="412" t="s">
        <v>56</v>
      </c>
      <c r="M44" s="132"/>
      <c r="N44" s="132"/>
      <c r="O44" s="155"/>
      <c r="P44" s="155"/>
      <c r="Q44" s="434">
        <v>133000000</v>
      </c>
      <c r="R44" s="94">
        <f>SUM(R45:R46)</f>
        <v>160443000</v>
      </c>
      <c r="S44" s="92"/>
      <c r="T44" s="95"/>
      <c r="U44" s="244"/>
      <c r="V44" s="497">
        <f>SUM(V45:V46)</f>
        <v>0</v>
      </c>
      <c r="W44" s="497">
        <f>SUM(W45:W46)</f>
        <v>0</v>
      </c>
      <c r="X44" s="498">
        <f>SUM(X45:X46)</f>
        <v>0</v>
      </c>
      <c r="Y44" s="498">
        <f>SUM(Y45:Y46)</f>
        <v>0</v>
      </c>
      <c r="Z44" s="498">
        <f>SUM(Z45:Z46)</f>
        <v>0</v>
      </c>
      <c r="AA44" s="498">
        <f t="shared" ref="AA44:AF44" si="28">SUM(AA45:AA46)</f>
        <v>0</v>
      </c>
      <c r="AB44" s="498">
        <f t="shared" si="28"/>
        <v>99843000</v>
      </c>
      <c r="AC44" s="498">
        <f t="shared" si="28"/>
        <v>70600000</v>
      </c>
      <c r="AD44" s="498">
        <f t="shared" si="28"/>
        <v>0</v>
      </c>
      <c r="AE44" s="498">
        <f t="shared" si="28"/>
        <v>0</v>
      </c>
      <c r="AF44" s="498">
        <f t="shared" si="28"/>
        <v>0</v>
      </c>
      <c r="AG44" s="498">
        <f t="shared" ref="AG44" si="29">SUM(AG45:AG46)</f>
        <v>0</v>
      </c>
      <c r="AH44" s="501">
        <f t="shared" si="2"/>
        <v>170443000</v>
      </c>
      <c r="AI44" s="535"/>
      <c r="AJ44" s="535"/>
      <c r="AK44" s="536"/>
      <c r="AL44" s="536"/>
      <c r="AM44" s="536"/>
      <c r="AR44" s="285"/>
      <c r="AS44" s="285"/>
      <c r="AT44" s="285"/>
      <c r="AU44" s="285"/>
      <c r="AV44" s="285"/>
      <c r="AW44" s="285"/>
      <c r="AX44" s="285"/>
      <c r="AY44" s="285"/>
      <c r="AZ44" s="285"/>
      <c r="BA44" s="285"/>
      <c r="BB44" s="285"/>
      <c r="BC44" s="285"/>
      <c r="BD44" s="285"/>
      <c r="BE44" s="285"/>
      <c r="BF44" s="285"/>
      <c r="BG44" s="285"/>
      <c r="BH44" s="285"/>
      <c r="BI44" s="285"/>
      <c r="BJ44" s="285"/>
      <c r="BK44" s="285"/>
      <c r="BL44" s="285"/>
      <c r="BM44" s="285"/>
      <c r="BN44" s="285"/>
      <c r="BO44" s="285"/>
      <c r="BP44" s="285"/>
      <c r="BQ44" s="285"/>
      <c r="BR44" s="285"/>
      <c r="BS44" s="285"/>
      <c r="BT44" s="285"/>
      <c r="BU44" s="285"/>
      <c r="BV44" s="285"/>
    </row>
    <row r="45" spans="2:74" ht="45" x14ac:dyDescent="0.2">
      <c r="B45" s="677"/>
      <c r="C45" s="678"/>
      <c r="D45" s="678"/>
      <c r="E45" s="678"/>
      <c r="F45" s="678"/>
      <c r="G45" s="678"/>
      <c r="H45" s="678"/>
      <c r="I45" s="678"/>
      <c r="J45" s="678"/>
      <c r="K45" s="398"/>
      <c r="L45" s="400" t="s">
        <v>183</v>
      </c>
      <c r="M45" s="134">
        <v>44224</v>
      </c>
      <c r="N45" s="134" t="s">
        <v>539</v>
      </c>
      <c r="O45" s="157" t="s">
        <v>307</v>
      </c>
      <c r="P45" s="157" t="s">
        <v>340</v>
      </c>
      <c r="Q45" s="434"/>
      <c r="R45" s="564">
        <f>70600000-10000000</f>
        <v>60600000</v>
      </c>
      <c r="S45" s="453" t="s">
        <v>386</v>
      </c>
      <c r="T45" s="399"/>
      <c r="U45" s="253" t="s">
        <v>194</v>
      </c>
      <c r="V45" s="497"/>
      <c r="W45" s="497"/>
      <c r="X45" s="498"/>
      <c r="Y45" s="498"/>
      <c r="Z45" s="498"/>
      <c r="AA45" s="498"/>
      <c r="AB45" s="498"/>
      <c r="AC45" s="498">
        <v>70600000</v>
      </c>
      <c r="AD45" s="498"/>
      <c r="AE45" s="498"/>
      <c r="AF45" s="498"/>
      <c r="AG45" s="498"/>
      <c r="AH45" s="501">
        <f t="shared" si="2"/>
        <v>70600000</v>
      </c>
      <c r="AI45" s="535">
        <v>14721</v>
      </c>
      <c r="AJ45" s="538">
        <v>44237</v>
      </c>
      <c r="AK45" s="536">
        <v>70600000</v>
      </c>
      <c r="AL45" s="536">
        <v>54968240.049999997</v>
      </c>
      <c r="AM45" s="536">
        <v>54968240.049999997</v>
      </c>
      <c r="AN45" s="532">
        <f>+R45-AL45</f>
        <v>5631759.950000003</v>
      </c>
      <c r="AO45" s="532">
        <f>+AL45-AM45</f>
        <v>0</v>
      </c>
      <c r="AP45" s="533">
        <f>R45-AL45+AO45</f>
        <v>5631759.950000003</v>
      </c>
      <c r="AQ45" s="440"/>
      <c r="AR45" s="285"/>
      <c r="AS45" s="285"/>
      <c r="AT45" s="285"/>
      <c r="AU45" s="285"/>
      <c r="AV45" s="285"/>
      <c r="AW45" s="285"/>
      <c r="AX45" s="285"/>
      <c r="AY45" s="285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  <c r="BM45" s="285"/>
      <c r="BN45" s="285"/>
      <c r="BO45" s="285"/>
      <c r="BP45" s="285"/>
      <c r="BQ45" s="285"/>
      <c r="BR45" s="285"/>
      <c r="BS45" s="285"/>
      <c r="BT45" s="285"/>
      <c r="BU45" s="285"/>
      <c r="BV45" s="285"/>
    </row>
    <row r="46" spans="2:74" ht="120" customHeight="1" x14ac:dyDescent="0.2">
      <c r="B46" s="682"/>
      <c r="C46" s="683"/>
      <c r="D46" s="683"/>
      <c r="E46" s="683"/>
      <c r="F46" s="683"/>
      <c r="G46" s="683"/>
      <c r="H46" s="683"/>
      <c r="I46" s="683"/>
      <c r="J46" s="683"/>
      <c r="K46" s="177" t="s">
        <v>488</v>
      </c>
      <c r="L46" s="400" t="s">
        <v>278</v>
      </c>
      <c r="M46" s="134">
        <v>44319</v>
      </c>
      <c r="N46" s="134" t="s">
        <v>575</v>
      </c>
      <c r="O46" s="157" t="s">
        <v>491</v>
      </c>
      <c r="P46" s="157" t="s">
        <v>483</v>
      </c>
      <c r="Q46" s="434"/>
      <c r="R46" s="101">
        <v>99843000</v>
      </c>
      <c r="S46" s="453" t="s">
        <v>386</v>
      </c>
      <c r="T46" s="399"/>
      <c r="U46" s="253" t="s">
        <v>466</v>
      </c>
      <c r="V46" s="497"/>
      <c r="W46" s="497"/>
      <c r="X46" s="498"/>
      <c r="Y46" s="498"/>
      <c r="Z46" s="498"/>
      <c r="AA46" s="498"/>
      <c r="AB46" s="498">
        <v>99843000</v>
      </c>
      <c r="AC46" s="498"/>
      <c r="AD46" s="498"/>
      <c r="AE46" s="498"/>
      <c r="AF46" s="498"/>
      <c r="AG46" s="498"/>
      <c r="AH46" s="501">
        <f t="shared" si="2"/>
        <v>99843000</v>
      </c>
      <c r="AI46" s="535">
        <v>63121</v>
      </c>
      <c r="AJ46" s="535" t="s">
        <v>631</v>
      </c>
      <c r="AK46" s="536">
        <v>99843000</v>
      </c>
      <c r="AL46" s="536">
        <v>99836954</v>
      </c>
      <c r="AM46" s="536">
        <v>99836954</v>
      </c>
      <c r="AN46" s="532">
        <f>+R46-AL46</f>
        <v>6046</v>
      </c>
      <c r="AO46" s="547">
        <f>+AL46-AM46</f>
        <v>0</v>
      </c>
      <c r="AP46" s="533">
        <f>R46-AL46+AO46</f>
        <v>6046</v>
      </c>
      <c r="AR46" s="285"/>
      <c r="AS46" s="285"/>
      <c r="AT46" s="285"/>
      <c r="AU46" s="285"/>
      <c r="AV46" s="285"/>
      <c r="AW46" s="285"/>
      <c r="AX46" s="285"/>
      <c r="AY46" s="285"/>
      <c r="AZ46" s="285"/>
      <c r="BA46" s="285"/>
      <c r="BB46" s="285"/>
      <c r="BC46" s="285"/>
      <c r="BD46" s="285"/>
      <c r="BE46" s="285"/>
      <c r="BF46" s="285"/>
      <c r="BG46" s="285"/>
      <c r="BH46" s="285"/>
      <c r="BI46" s="285"/>
      <c r="BJ46" s="285"/>
      <c r="BK46" s="285"/>
      <c r="BL46" s="285"/>
      <c r="BM46" s="285"/>
      <c r="BN46" s="285"/>
      <c r="BO46" s="285"/>
      <c r="BP46" s="285"/>
      <c r="BQ46" s="285"/>
      <c r="BR46" s="285"/>
      <c r="BS46" s="285"/>
      <c r="BT46" s="285"/>
      <c r="BU46" s="285"/>
      <c r="BV46" s="285"/>
    </row>
    <row r="47" spans="2:74" ht="30" customHeight="1" x14ac:dyDescent="0.2">
      <c r="B47" s="13" t="s">
        <v>7</v>
      </c>
      <c r="C47" s="14" t="s">
        <v>20</v>
      </c>
      <c r="D47" s="14" t="s">
        <v>20</v>
      </c>
      <c r="E47" s="14" t="s">
        <v>8</v>
      </c>
      <c r="F47" s="14" t="s">
        <v>11</v>
      </c>
      <c r="G47" s="14"/>
      <c r="H47" s="14"/>
      <c r="I47" s="14"/>
      <c r="J47" s="195"/>
      <c r="K47" s="13"/>
      <c r="L47" s="411" t="s">
        <v>57</v>
      </c>
      <c r="M47" s="131"/>
      <c r="N47" s="131"/>
      <c r="O47" s="154"/>
      <c r="P47" s="154"/>
      <c r="Q47" s="434">
        <f>+Q48+Q54+Q62+Q59+Q67+Q75</f>
        <v>383900000</v>
      </c>
      <c r="R47" s="16">
        <f>+R48+R54+R62+R59+R67+R75</f>
        <v>285113900</v>
      </c>
      <c r="S47" s="14"/>
      <c r="T47" s="17"/>
      <c r="U47" s="252"/>
      <c r="V47" s="497">
        <f t="shared" ref="V47:AG47" si="30">+V48+V54+V62+V59+V67+V75</f>
        <v>4600000</v>
      </c>
      <c r="W47" s="497">
        <f t="shared" si="30"/>
        <v>10200000</v>
      </c>
      <c r="X47" s="498">
        <f t="shared" si="30"/>
        <v>10200000</v>
      </c>
      <c r="Y47" s="498">
        <f t="shared" si="30"/>
        <v>55200000</v>
      </c>
      <c r="Z47" s="498">
        <f t="shared" si="30"/>
        <v>10200000</v>
      </c>
      <c r="AA47" s="498">
        <f t="shared" si="30"/>
        <v>19870000</v>
      </c>
      <c r="AB47" s="498">
        <f t="shared" si="30"/>
        <v>58604000</v>
      </c>
      <c r="AC47" s="498">
        <f t="shared" si="30"/>
        <v>55200000</v>
      </c>
      <c r="AD47" s="498">
        <f t="shared" si="30"/>
        <v>27870000</v>
      </c>
      <c r="AE47" s="498">
        <f t="shared" si="30"/>
        <v>25200000</v>
      </c>
      <c r="AF47" s="498">
        <f t="shared" si="30"/>
        <v>10200000</v>
      </c>
      <c r="AG47" s="498">
        <f t="shared" si="30"/>
        <v>19969900</v>
      </c>
      <c r="AH47" s="501">
        <f t="shared" si="2"/>
        <v>307313900</v>
      </c>
      <c r="AI47" s="535"/>
      <c r="AJ47" s="535"/>
      <c r="AK47" s="536"/>
      <c r="AL47" s="536"/>
      <c r="AM47" s="536"/>
      <c r="AR47" s="285"/>
      <c r="AS47" s="285"/>
      <c r="AT47" s="285"/>
      <c r="AU47" s="285"/>
      <c r="AV47" s="285"/>
      <c r="AW47" s="285"/>
      <c r="AX47" s="285"/>
      <c r="AY47" s="285"/>
      <c r="AZ47" s="285"/>
      <c r="BA47" s="285"/>
      <c r="BB47" s="285"/>
      <c r="BC47" s="285"/>
      <c r="BD47" s="285"/>
      <c r="BE47" s="285"/>
      <c r="BF47" s="285"/>
      <c r="BG47" s="285"/>
      <c r="BH47" s="285"/>
      <c r="BI47" s="285"/>
      <c r="BJ47" s="285"/>
      <c r="BK47" s="285"/>
      <c r="BL47" s="285"/>
      <c r="BM47" s="285"/>
      <c r="BN47" s="285"/>
      <c r="BO47" s="285"/>
      <c r="BP47" s="285"/>
      <c r="BQ47" s="285"/>
      <c r="BR47" s="285"/>
      <c r="BS47" s="285"/>
      <c r="BT47" s="285"/>
      <c r="BU47" s="285"/>
      <c r="BV47" s="285"/>
    </row>
    <row r="48" spans="2:74" ht="30" customHeight="1" x14ac:dyDescent="0.2">
      <c r="B48" s="91" t="s">
        <v>7</v>
      </c>
      <c r="C48" s="92" t="s">
        <v>20</v>
      </c>
      <c r="D48" s="92" t="s">
        <v>20</v>
      </c>
      <c r="E48" s="92" t="s">
        <v>8</v>
      </c>
      <c r="F48" s="92" t="s">
        <v>11</v>
      </c>
      <c r="G48" s="92" t="s">
        <v>10</v>
      </c>
      <c r="H48" s="92"/>
      <c r="I48" s="92"/>
      <c r="J48" s="196"/>
      <c r="K48" s="91"/>
      <c r="L48" s="412" t="s">
        <v>58</v>
      </c>
      <c r="M48" s="132"/>
      <c r="N48" s="132"/>
      <c r="O48" s="155"/>
      <c r="P48" s="155"/>
      <c r="Q48" s="434">
        <f>+Q49+Q52</f>
        <v>85500000</v>
      </c>
      <c r="R48" s="94">
        <f>+R49+R52</f>
        <v>54905600</v>
      </c>
      <c r="S48" s="92"/>
      <c r="T48" s="95"/>
      <c r="U48" s="244"/>
      <c r="V48" s="497">
        <f>+V49+V52</f>
        <v>0</v>
      </c>
      <c r="W48" s="497">
        <f>+W49+W52</f>
        <v>500000</v>
      </c>
      <c r="X48" s="498">
        <f>+X49+X52</f>
        <v>500000</v>
      </c>
      <c r="Y48" s="498">
        <f>+Y49+Y52</f>
        <v>45500000</v>
      </c>
      <c r="Z48" s="498">
        <f>+Z49+Z52</f>
        <v>500000</v>
      </c>
      <c r="AA48" s="498">
        <f t="shared" ref="AA48:AF48" si="31">+AA49+AA52</f>
        <v>3635200</v>
      </c>
      <c r="AB48" s="498">
        <f t="shared" si="31"/>
        <v>500000</v>
      </c>
      <c r="AC48" s="498">
        <f t="shared" si="31"/>
        <v>500000</v>
      </c>
      <c r="AD48" s="498">
        <f t="shared" si="31"/>
        <v>3635200</v>
      </c>
      <c r="AE48" s="498">
        <f t="shared" si="31"/>
        <v>15500000</v>
      </c>
      <c r="AF48" s="498">
        <f t="shared" si="31"/>
        <v>500000</v>
      </c>
      <c r="AG48" s="498">
        <f t="shared" ref="AG48" si="32">+AG49+AG52</f>
        <v>3635200</v>
      </c>
      <c r="AH48" s="501">
        <f t="shared" si="2"/>
        <v>74905600</v>
      </c>
      <c r="AI48" s="535"/>
      <c r="AJ48" s="535"/>
      <c r="AK48" s="536"/>
      <c r="AL48" s="536"/>
      <c r="AM48" s="536"/>
      <c r="AR48" s="285"/>
      <c r="AS48" s="285"/>
      <c r="AT48" s="285"/>
      <c r="AU48" s="285"/>
      <c r="AV48" s="285"/>
      <c r="AW48" s="285"/>
      <c r="AX48" s="285"/>
      <c r="AY48" s="285"/>
      <c r="AZ48" s="285"/>
      <c r="BA48" s="285"/>
      <c r="BB48" s="285"/>
      <c r="BC48" s="285"/>
      <c r="BD48" s="285"/>
      <c r="BE48" s="285"/>
      <c r="BF48" s="285"/>
      <c r="BG48" s="285"/>
      <c r="BH48" s="285"/>
      <c r="BI48" s="285"/>
      <c r="BJ48" s="285"/>
      <c r="BK48" s="285"/>
      <c r="BL48" s="285"/>
      <c r="BM48" s="285"/>
      <c r="BN48" s="285"/>
      <c r="BO48" s="285"/>
      <c r="BP48" s="285"/>
      <c r="BQ48" s="285"/>
      <c r="BR48" s="285"/>
      <c r="BS48" s="285"/>
      <c r="BT48" s="285"/>
      <c r="BU48" s="285"/>
      <c r="BV48" s="285"/>
    </row>
    <row r="49" spans="2:74" ht="15" customHeight="1" x14ac:dyDescent="0.2">
      <c r="B49" s="397" t="s">
        <v>7</v>
      </c>
      <c r="C49" s="395" t="s">
        <v>20</v>
      </c>
      <c r="D49" s="395" t="s">
        <v>20</v>
      </c>
      <c r="E49" s="395" t="s">
        <v>8</v>
      </c>
      <c r="F49" s="395" t="s">
        <v>11</v>
      </c>
      <c r="G49" s="395" t="s">
        <v>10</v>
      </c>
      <c r="H49" s="395" t="s">
        <v>8</v>
      </c>
      <c r="I49" s="395"/>
      <c r="J49" s="405"/>
      <c r="K49" s="397"/>
      <c r="L49" s="404" t="s">
        <v>59</v>
      </c>
      <c r="M49" s="133"/>
      <c r="N49" s="133"/>
      <c r="O49" s="156"/>
      <c r="P49" s="156"/>
      <c r="Q49" s="434">
        <v>80000000</v>
      </c>
      <c r="R49" s="5">
        <f>SUM(R50:R51)</f>
        <v>49405600</v>
      </c>
      <c r="S49" s="181"/>
      <c r="T49" s="396"/>
      <c r="U49" s="245"/>
      <c r="V49" s="497">
        <f>SUM(V50:V51)</f>
        <v>0</v>
      </c>
      <c r="W49" s="497">
        <f>SUM(W50:W51)</f>
        <v>0</v>
      </c>
      <c r="X49" s="498">
        <f>SUM(X50:X51)</f>
        <v>0</v>
      </c>
      <c r="Y49" s="498">
        <f>SUM(Y50:Y51)</f>
        <v>45000000</v>
      </c>
      <c r="Z49" s="498">
        <f>SUM(Z50:Z51)</f>
        <v>0</v>
      </c>
      <c r="AA49" s="498">
        <f t="shared" ref="AA49:AF49" si="33">SUM(AA50:AA51)</f>
        <v>3135200</v>
      </c>
      <c r="AB49" s="498">
        <f t="shared" si="33"/>
        <v>0</v>
      </c>
      <c r="AC49" s="498">
        <f t="shared" si="33"/>
        <v>0</v>
      </c>
      <c r="AD49" s="498">
        <f t="shared" si="33"/>
        <v>3135200</v>
      </c>
      <c r="AE49" s="498">
        <f t="shared" si="33"/>
        <v>15000000</v>
      </c>
      <c r="AF49" s="498">
        <f t="shared" si="33"/>
        <v>0</v>
      </c>
      <c r="AG49" s="498">
        <f t="shared" ref="AG49" si="34">SUM(AG50:AG51)</f>
        <v>3135200</v>
      </c>
      <c r="AH49" s="501">
        <f t="shared" si="2"/>
        <v>69405600</v>
      </c>
      <c r="AI49" s="535"/>
      <c r="AJ49" s="535"/>
      <c r="AK49" s="536"/>
      <c r="AL49" s="536"/>
      <c r="AM49" s="536"/>
      <c r="AR49" s="285"/>
      <c r="AS49" s="285"/>
      <c r="AT49" s="285"/>
      <c r="AU49" s="285"/>
      <c r="AV49" s="285"/>
      <c r="AW49" s="285"/>
      <c r="AX49" s="285"/>
      <c r="AY49" s="285"/>
      <c r="AZ49" s="285"/>
      <c r="BA49" s="285"/>
      <c r="BB49" s="285"/>
      <c r="BC49" s="285"/>
      <c r="BD49" s="285"/>
      <c r="BE49" s="285"/>
      <c r="BF49" s="285"/>
      <c r="BG49" s="285"/>
      <c r="BH49" s="285"/>
      <c r="BI49" s="285"/>
      <c r="BJ49" s="285"/>
      <c r="BK49" s="285"/>
      <c r="BL49" s="285"/>
      <c r="BM49" s="285"/>
      <c r="BN49" s="285"/>
      <c r="BO49" s="285"/>
      <c r="BP49" s="285"/>
      <c r="BQ49" s="285"/>
      <c r="BR49" s="285"/>
      <c r="BS49" s="285"/>
      <c r="BT49" s="285"/>
      <c r="BU49" s="285"/>
      <c r="BV49" s="285"/>
    </row>
    <row r="50" spans="2:74" ht="180" customHeight="1" x14ac:dyDescent="0.2">
      <c r="B50" s="677"/>
      <c r="C50" s="678"/>
      <c r="D50" s="678"/>
      <c r="E50" s="678"/>
      <c r="F50" s="678"/>
      <c r="G50" s="678"/>
      <c r="H50" s="678"/>
      <c r="I50" s="678"/>
      <c r="J50" s="678"/>
      <c r="K50" s="177" t="s">
        <v>510</v>
      </c>
      <c r="L50" s="400" t="s">
        <v>218</v>
      </c>
      <c r="M50" s="134">
        <v>44242</v>
      </c>
      <c r="N50" s="134" t="s">
        <v>539</v>
      </c>
      <c r="O50" s="157" t="s">
        <v>511</v>
      </c>
      <c r="P50" s="157" t="s">
        <v>384</v>
      </c>
      <c r="Q50" s="434"/>
      <c r="R50" s="101">
        <f>60000000-20000000</f>
        <v>40000000</v>
      </c>
      <c r="S50" s="453" t="s">
        <v>386</v>
      </c>
      <c r="T50" s="399"/>
      <c r="U50" s="253" t="s">
        <v>222</v>
      </c>
      <c r="V50" s="497"/>
      <c r="W50" s="497"/>
      <c r="X50" s="498"/>
      <c r="Y50" s="498">
        <v>45000000</v>
      </c>
      <c r="Z50" s="498"/>
      <c r="AA50" s="498"/>
      <c r="AB50" s="498"/>
      <c r="AC50" s="498"/>
      <c r="AD50" s="498"/>
      <c r="AE50" s="498">
        <v>15000000</v>
      </c>
      <c r="AF50" s="498"/>
      <c r="AG50" s="498"/>
      <c r="AH50" s="501">
        <f t="shared" si="2"/>
        <v>60000000</v>
      </c>
      <c r="AI50" s="535">
        <v>15621</v>
      </c>
      <c r="AJ50" s="538">
        <v>44239</v>
      </c>
      <c r="AK50" s="536">
        <v>40000000</v>
      </c>
      <c r="AL50" s="536">
        <v>40000000</v>
      </c>
      <c r="AM50" s="536">
        <v>40000000</v>
      </c>
      <c r="AN50" s="532">
        <f>+R50-AL50</f>
        <v>0</v>
      </c>
      <c r="AO50" s="532">
        <f>+AL50-AM50</f>
        <v>0</v>
      </c>
      <c r="AP50" s="532">
        <f>R50-AL50+AO50</f>
        <v>0</v>
      </c>
      <c r="AR50" s="285"/>
      <c r="AS50" s="285"/>
      <c r="AT50" s="285"/>
      <c r="AU50" s="285"/>
      <c r="AV50" s="285"/>
      <c r="AW50" s="285"/>
      <c r="AX50" s="285"/>
      <c r="AY50" s="285"/>
      <c r="AZ50" s="285"/>
      <c r="BA50" s="285"/>
      <c r="BB50" s="285"/>
      <c r="BC50" s="285"/>
      <c r="BD50" s="285"/>
      <c r="BE50" s="285"/>
      <c r="BF50" s="285"/>
      <c r="BG50" s="285"/>
      <c r="BH50" s="285"/>
      <c r="BI50" s="285"/>
      <c r="BJ50" s="285"/>
      <c r="BK50" s="285"/>
      <c r="BL50" s="285"/>
      <c r="BM50" s="285"/>
      <c r="BN50" s="285"/>
      <c r="BO50" s="285"/>
      <c r="BP50" s="285"/>
      <c r="BQ50" s="285"/>
      <c r="BR50" s="285"/>
      <c r="BS50" s="285"/>
      <c r="BT50" s="285"/>
      <c r="BU50" s="285"/>
      <c r="BV50" s="285"/>
    </row>
    <row r="51" spans="2:74" ht="45" x14ac:dyDescent="0.2">
      <c r="B51" s="682"/>
      <c r="C51" s="683"/>
      <c r="D51" s="683"/>
      <c r="E51" s="683"/>
      <c r="F51" s="683"/>
      <c r="G51" s="683"/>
      <c r="H51" s="683"/>
      <c r="I51" s="683"/>
      <c r="J51" s="683"/>
      <c r="K51" s="177" t="s">
        <v>361</v>
      </c>
      <c r="L51" s="400" t="s">
        <v>562</v>
      </c>
      <c r="M51" s="134">
        <v>44260</v>
      </c>
      <c r="N51" s="134" t="s">
        <v>574</v>
      </c>
      <c r="O51" s="157" t="s">
        <v>326</v>
      </c>
      <c r="P51" s="157" t="s">
        <v>360</v>
      </c>
      <c r="Q51" s="434"/>
      <c r="R51" s="564">
        <v>9405600</v>
      </c>
      <c r="S51" s="402" t="s">
        <v>386</v>
      </c>
      <c r="T51" s="399"/>
      <c r="U51" s="253" t="s">
        <v>194</v>
      </c>
      <c r="V51" s="497"/>
      <c r="W51" s="497"/>
      <c r="X51" s="498"/>
      <c r="Y51" s="498"/>
      <c r="Z51" s="498"/>
      <c r="AA51" s="498">
        <v>3135200</v>
      </c>
      <c r="AB51" s="498"/>
      <c r="AC51" s="498"/>
      <c r="AD51" s="498">
        <v>3135200</v>
      </c>
      <c r="AE51" s="498"/>
      <c r="AF51" s="498"/>
      <c r="AG51" s="498">
        <v>3135200</v>
      </c>
      <c r="AH51" s="501">
        <f t="shared" si="2"/>
        <v>9405600</v>
      </c>
      <c r="AI51" s="535">
        <v>41221</v>
      </c>
      <c r="AJ51" s="538">
        <v>44326</v>
      </c>
      <c r="AK51" s="536">
        <v>9405600</v>
      </c>
      <c r="AL51" s="536">
        <v>8849785.7100000009</v>
      </c>
      <c r="AM51" s="536">
        <v>8849785.7100000009</v>
      </c>
      <c r="AN51" s="532">
        <f>+R51-AL51</f>
        <v>555814.28999999911</v>
      </c>
      <c r="AO51" s="532">
        <f>+AL51-AM51</f>
        <v>0</v>
      </c>
      <c r="AP51" s="633">
        <f>R51-AL51+AO51</f>
        <v>555814.28999999911</v>
      </c>
      <c r="AQ51" s="440"/>
      <c r="AR51" s="285"/>
      <c r="AS51" s="285"/>
      <c r="AT51" s="285"/>
      <c r="AU51" s="285"/>
      <c r="AV51" s="285"/>
      <c r="AW51" s="285"/>
      <c r="AX51" s="285"/>
      <c r="AY51" s="285"/>
      <c r="AZ51" s="285"/>
      <c r="BA51" s="285"/>
      <c r="BB51" s="285"/>
      <c r="BC51" s="285"/>
      <c r="BD51" s="285"/>
      <c r="BE51" s="285"/>
      <c r="BF51" s="285"/>
      <c r="BG51" s="285"/>
      <c r="BH51" s="285"/>
      <c r="BI51" s="285"/>
      <c r="BJ51" s="285"/>
      <c r="BK51" s="285"/>
      <c r="BL51" s="285"/>
      <c r="BM51" s="285"/>
      <c r="BN51" s="285"/>
      <c r="BO51" s="285"/>
      <c r="BP51" s="285"/>
      <c r="BQ51" s="285"/>
      <c r="BR51" s="285"/>
      <c r="BS51" s="285"/>
      <c r="BT51" s="285"/>
      <c r="BU51" s="285"/>
      <c r="BV51" s="285"/>
    </row>
    <row r="52" spans="2:74" ht="30" customHeight="1" x14ac:dyDescent="0.2">
      <c r="B52" s="397" t="s">
        <v>7</v>
      </c>
      <c r="C52" s="395" t="s">
        <v>20</v>
      </c>
      <c r="D52" s="395" t="s">
        <v>20</v>
      </c>
      <c r="E52" s="395" t="s">
        <v>8</v>
      </c>
      <c r="F52" s="395" t="s">
        <v>11</v>
      </c>
      <c r="G52" s="395" t="s">
        <v>10</v>
      </c>
      <c r="H52" s="395" t="s">
        <v>24</v>
      </c>
      <c r="I52" s="395"/>
      <c r="J52" s="405"/>
      <c r="K52" s="397"/>
      <c r="L52" s="404" t="s">
        <v>138</v>
      </c>
      <c r="M52" s="133"/>
      <c r="N52" s="133"/>
      <c r="O52" s="156"/>
      <c r="P52" s="156"/>
      <c r="Q52" s="434">
        <v>5500000</v>
      </c>
      <c r="R52" s="5">
        <f>SUM(R53:R53)</f>
        <v>5500000</v>
      </c>
      <c r="S52" s="181"/>
      <c r="T52" s="396"/>
      <c r="U52" s="245"/>
      <c r="V52" s="497">
        <f>SUM(V53:V53)</f>
        <v>0</v>
      </c>
      <c r="W52" s="497">
        <f>SUM(W53:W53)</f>
        <v>500000</v>
      </c>
      <c r="X52" s="498">
        <f>SUM(X53:X53)</f>
        <v>500000</v>
      </c>
      <c r="Y52" s="498">
        <f>SUM(Y53:Y53)</f>
        <v>500000</v>
      </c>
      <c r="Z52" s="498">
        <f>SUM(Z53:Z53)</f>
        <v>500000</v>
      </c>
      <c r="AA52" s="498">
        <f t="shared" ref="AA52:AG52" si="35">SUM(AA53:AA53)</f>
        <v>500000</v>
      </c>
      <c r="AB52" s="498">
        <f t="shared" si="35"/>
        <v>500000</v>
      </c>
      <c r="AC52" s="498">
        <f t="shared" si="35"/>
        <v>500000</v>
      </c>
      <c r="AD52" s="498">
        <f t="shared" si="35"/>
        <v>500000</v>
      </c>
      <c r="AE52" s="498">
        <f t="shared" si="35"/>
        <v>500000</v>
      </c>
      <c r="AF52" s="498">
        <f t="shared" si="35"/>
        <v>500000</v>
      </c>
      <c r="AG52" s="498">
        <f t="shared" si="35"/>
        <v>500000</v>
      </c>
      <c r="AH52" s="501">
        <f t="shared" si="2"/>
        <v>5500000</v>
      </c>
      <c r="AI52" s="535"/>
      <c r="AJ52" s="535"/>
      <c r="AK52" s="536"/>
      <c r="AL52" s="536"/>
      <c r="AM52" s="536"/>
      <c r="AP52" s="527" t="s">
        <v>430</v>
      </c>
      <c r="AR52" s="285"/>
      <c r="AS52" s="285"/>
      <c r="AT52" s="285"/>
      <c r="AU52" s="285"/>
      <c r="AV52" s="285"/>
      <c r="AW52" s="285"/>
      <c r="AX52" s="285"/>
      <c r="AY52" s="285"/>
      <c r="AZ52" s="285"/>
      <c r="BA52" s="285"/>
      <c r="BB52" s="285"/>
      <c r="BC52" s="285"/>
      <c r="BD52" s="285"/>
      <c r="BE52" s="285"/>
      <c r="BF52" s="285"/>
      <c r="BG52" s="285"/>
      <c r="BH52" s="285"/>
      <c r="BI52" s="285"/>
      <c r="BJ52" s="285"/>
      <c r="BK52" s="285"/>
      <c r="BL52" s="285"/>
      <c r="BM52" s="285"/>
      <c r="BN52" s="285"/>
      <c r="BO52" s="285"/>
      <c r="BP52" s="285"/>
      <c r="BQ52" s="285"/>
      <c r="BR52" s="285"/>
      <c r="BS52" s="285"/>
      <c r="BT52" s="285"/>
      <c r="BU52" s="285"/>
      <c r="BV52" s="285"/>
    </row>
    <row r="53" spans="2:74" ht="15" customHeight="1" x14ac:dyDescent="0.2">
      <c r="B53" s="682"/>
      <c r="C53" s="683"/>
      <c r="D53" s="683"/>
      <c r="E53" s="683"/>
      <c r="F53" s="683"/>
      <c r="G53" s="683"/>
      <c r="H53" s="683"/>
      <c r="I53" s="683"/>
      <c r="J53" s="683"/>
      <c r="K53" s="113"/>
      <c r="L53" s="406" t="s">
        <v>240</v>
      </c>
      <c r="M53" s="137"/>
      <c r="N53" s="137"/>
      <c r="O53" s="160"/>
      <c r="P53" s="160"/>
      <c r="Q53" s="434"/>
      <c r="R53" s="115">
        <v>5500000</v>
      </c>
      <c r="S53" s="187"/>
      <c r="T53" s="116"/>
      <c r="U53" s="256" t="s">
        <v>355</v>
      </c>
      <c r="V53" s="497"/>
      <c r="W53" s="497">
        <v>500000</v>
      </c>
      <c r="X53" s="499">
        <v>500000</v>
      </c>
      <c r="Y53" s="499">
        <v>500000</v>
      </c>
      <c r="Z53" s="499">
        <v>500000</v>
      </c>
      <c r="AA53" s="499">
        <v>500000</v>
      </c>
      <c r="AB53" s="499">
        <v>500000</v>
      </c>
      <c r="AC53" s="499">
        <v>500000</v>
      </c>
      <c r="AD53" s="499">
        <v>500000</v>
      </c>
      <c r="AE53" s="499">
        <v>500000</v>
      </c>
      <c r="AF53" s="499">
        <v>500000</v>
      </c>
      <c r="AG53" s="499">
        <v>500000</v>
      </c>
      <c r="AH53" s="501">
        <f t="shared" si="2"/>
        <v>5500000</v>
      </c>
      <c r="AI53" s="535" t="s">
        <v>603</v>
      </c>
      <c r="AJ53" s="535"/>
      <c r="AK53" s="536">
        <f>600000+133582+9559+471559+42168+33434+540585+573686+433709</f>
        <v>2838282</v>
      </c>
      <c r="AL53" s="536">
        <v>2838282</v>
      </c>
      <c r="AM53" s="536">
        <v>2838282</v>
      </c>
      <c r="AN53" s="532">
        <f>+R53-AL53</f>
        <v>2661718</v>
      </c>
      <c r="AO53" s="532">
        <f>+AL53-AM53</f>
        <v>0</v>
      </c>
      <c r="AP53" s="533">
        <f>R53-AL53+AO53</f>
        <v>2661718</v>
      </c>
      <c r="AR53" s="285"/>
      <c r="AS53" s="285"/>
      <c r="AT53" s="285"/>
      <c r="AU53" s="285"/>
      <c r="AV53" s="285"/>
      <c r="AW53" s="285"/>
      <c r="AX53" s="285"/>
      <c r="AY53" s="285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5"/>
      <c r="BL53" s="285"/>
      <c r="BM53" s="285"/>
      <c r="BN53" s="285"/>
      <c r="BO53" s="285"/>
      <c r="BP53" s="285"/>
      <c r="BQ53" s="285"/>
      <c r="BR53" s="285"/>
      <c r="BS53" s="285"/>
      <c r="BT53" s="285"/>
      <c r="BU53" s="285"/>
      <c r="BV53" s="285"/>
    </row>
    <row r="54" spans="2:74" ht="30" customHeight="1" x14ac:dyDescent="0.2">
      <c r="B54" s="91" t="s">
        <v>7</v>
      </c>
      <c r="C54" s="92" t="s">
        <v>20</v>
      </c>
      <c r="D54" s="92" t="s">
        <v>20</v>
      </c>
      <c r="E54" s="92" t="s">
        <v>8</v>
      </c>
      <c r="F54" s="92" t="s">
        <v>11</v>
      </c>
      <c r="G54" s="92" t="s">
        <v>11</v>
      </c>
      <c r="H54" s="92"/>
      <c r="I54" s="92"/>
      <c r="J54" s="196"/>
      <c r="K54" s="91"/>
      <c r="L54" s="412" t="s">
        <v>60</v>
      </c>
      <c r="M54" s="132"/>
      <c r="N54" s="132"/>
      <c r="O54" s="155"/>
      <c r="P54" s="155"/>
      <c r="Q54" s="434">
        <f>+Q55+Q57</f>
        <v>101600000</v>
      </c>
      <c r="R54" s="94">
        <f>+R55+R57</f>
        <v>81600000</v>
      </c>
      <c r="S54" s="92"/>
      <c r="T54" s="95"/>
      <c r="U54" s="244"/>
      <c r="V54" s="497">
        <f>+V55+V57</f>
        <v>4600000</v>
      </c>
      <c r="W54" s="497">
        <f>+W55+W57</f>
        <v>7000000</v>
      </c>
      <c r="X54" s="498">
        <f>+X55+X57</f>
        <v>7000000</v>
      </c>
      <c r="Y54" s="498">
        <f>+Y55+Y57</f>
        <v>7000000</v>
      </c>
      <c r="Z54" s="498">
        <f>+Z55+Z57</f>
        <v>7000000</v>
      </c>
      <c r="AA54" s="498">
        <f t="shared" ref="AA54:AF54" si="36">+AA55+AA57</f>
        <v>7000000</v>
      </c>
      <c r="AB54" s="498">
        <f t="shared" si="36"/>
        <v>7000000</v>
      </c>
      <c r="AC54" s="498">
        <f t="shared" si="36"/>
        <v>7000000</v>
      </c>
      <c r="AD54" s="498">
        <f t="shared" si="36"/>
        <v>7000000</v>
      </c>
      <c r="AE54" s="498">
        <f t="shared" si="36"/>
        <v>7000000</v>
      </c>
      <c r="AF54" s="498">
        <f t="shared" si="36"/>
        <v>7000000</v>
      </c>
      <c r="AG54" s="498">
        <f t="shared" ref="AG54" si="37">+AG55+AG57</f>
        <v>7000000</v>
      </c>
      <c r="AH54" s="501">
        <f t="shared" si="2"/>
        <v>81600000</v>
      </c>
      <c r="AI54" s="535"/>
      <c r="AJ54" s="535"/>
      <c r="AK54" s="536"/>
      <c r="AL54" s="536"/>
      <c r="AM54" s="536"/>
      <c r="AR54" s="285"/>
      <c r="AS54" s="285"/>
      <c r="AT54" s="285"/>
      <c r="AU54" s="285"/>
      <c r="AV54" s="285"/>
      <c r="AW54" s="285"/>
      <c r="AX54" s="285"/>
      <c r="AY54" s="285"/>
      <c r="AZ54" s="285"/>
      <c r="BA54" s="285"/>
      <c r="BB54" s="285"/>
      <c r="BC54" s="285"/>
      <c r="BD54" s="285"/>
      <c r="BE54" s="285"/>
      <c r="BF54" s="285"/>
      <c r="BG54" s="285"/>
      <c r="BH54" s="285"/>
      <c r="BI54" s="285"/>
      <c r="BJ54" s="285"/>
      <c r="BK54" s="285"/>
      <c r="BL54" s="285"/>
      <c r="BM54" s="285"/>
      <c r="BN54" s="285"/>
      <c r="BO54" s="285"/>
      <c r="BP54" s="285"/>
      <c r="BQ54" s="285"/>
      <c r="BR54" s="285"/>
      <c r="BS54" s="285"/>
      <c r="BT54" s="285"/>
      <c r="BU54" s="285"/>
      <c r="BV54" s="285"/>
    </row>
    <row r="55" spans="2:74" ht="60" customHeight="1" x14ac:dyDescent="0.2">
      <c r="B55" s="397" t="s">
        <v>7</v>
      </c>
      <c r="C55" s="395" t="s">
        <v>20</v>
      </c>
      <c r="D55" s="395" t="s">
        <v>20</v>
      </c>
      <c r="E55" s="395" t="s">
        <v>8</v>
      </c>
      <c r="F55" s="395" t="s">
        <v>11</v>
      </c>
      <c r="G55" s="395" t="s">
        <v>11</v>
      </c>
      <c r="H55" s="395" t="s">
        <v>23</v>
      </c>
      <c r="I55" s="395"/>
      <c r="J55" s="405"/>
      <c r="K55" s="397"/>
      <c r="L55" s="404" t="s">
        <v>241</v>
      </c>
      <c r="M55" s="133"/>
      <c r="N55" s="133"/>
      <c r="O55" s="156"/>
      <c r="P55" s="156"/>
      <c r="Q55" s="434">
        <v>11600000</v>
      </c>
      <c r="R55" s="5">
        <f>SUM(R56:R56)</f>
        <v>11600000</v>
      </c>
      <c r="S55" s="181"/>
      <c r="T55" s="396"/>
      <c r="U55" s="245"/>
      <c r="V55" s="497">
        <f>SUM(V56:V56)</f>
        <v>600000</v>
      </c>
      <c r="W55" s="497">
        <f>SUM(W56:W56)</f>
        <v>1000000</v>
      </c>
      <c r="X55" s="498">
        <f>SUM(X56:X56)</f>
        <v>1000000</v>
      </c>
      <c r="Y55" s="498">
        <f>SUM(Y56:Y56)</f>
        <v>1000000</v>
      </c>
      <c r="Z55" s="498">
        <f>SUM(Z56:Z56)</f>
        <v>1000000</v>
      </c>
      <c r="AA55" s="498">
        <f t="shared" ref="AA55:AG55" si="38">SUM(AA56:AA56)</f>
        <v>1000000</v>
      </c>
      <c r="AB55" s="498">
        <f t="shared" si="38"/>
        <v>1000000</v>
      </c>
      <c r="AC55" s="498">
        <f t="shared" si="38"/>
        <v>1000000</v>
      </c>
      <c r="AD55" s="498">
        <f t="shared" si="38"/>
        <v>1000000</v>
      </c>
      <c r="AE55" s="498">
        <f t="shared" si="38"/>
        <v>1000000</v>
      </c>
      <c r="AF55" s="498">
        <f t="shared" si="38"/>
        <v>1000000</v>
      </c>
      <c r="AG55" s="498">
        <f t="shared" si="38"/>
        <v>1000000</v>
      </c>
      <c r="AH55" s="501">
        <f t="shared" si="2"/>
        <v>11600000</v>
      </c>
      <c r="AI55" s="535"/>
      <c r="AJ55" s="535"/>
      <c r="AK55" s="536"/>
      <c r="AL55" s="536"/>
      <c r="AM55" s="536"/>
      <c r="AR55" s="285"/>
      <c r="AS55" s="285"/>
      <c r="AT55" s="285"/>
      <c r="AU55" s="285"/>
      <c r="AV55" s="285"/>
      <c r="AW55" s="285"/>
      <c r="AX55" s="285"/>
      <c r="AY55" s="285"/>
      <c r="AZ55" s="285"/>
      <c r="BA55" s="285"/>
      <c r="BB55" s="285"/>
      <c r="BC55" s="285"/>
      <c r="BD55" s="285"/>
      <c r="BE55" s="285"/>
      <c r="BF55" s="285"/>
      <c r="BG55" s="285"/>
      <c r="BH55" s="285"/>
      <c r="BI55" s="285"/>
      <c r="BJ55" s="285"/>
      <c r="BK55" s="285"/>
      <c r="BL55" s="285"/>
      <c r="BM55" s="285"/>
      <c r="BN55" s="285"/>
      <c r="BO55" s="285"/>
      <c r="BP55" s="285"/>
      <c r="BQ55" s="285"/>
      <c r="BR55" s="285"/>
      <c r="BS55" s="285"/>
      <c r="BT55" s="285"/>
      <c r="BU55" s="285"/>
      <c r="BV55" s="285"/>
    </row>
    <row r="56" spans="2:74" ht="15" customHeight="1" x14ac:dyDescent="0.2">
      <c r="B56" s="677"/>
      <c r="C56" s="678"/>
      <c r="D56" s="678"/>
      <c r="E56" s="678"/>
      <c r="F56" s="678"/>
      <c r="G56" s="678"/>
      <c r="H56" s="678"/>
      <c r="I56" s="678"/>
      <c r="J56" s="678"/>
      <c r="K56" s="398">
        <v>15121500</v>
      </c>
      <c r="L56" s="400" t="s">
        <v>242</v>
      </c>
      <c r="M56" s="134">
        <v>44228</v>
      </c>
      <c r="N56" s="134" t="s">
        <v>539</v>
      </c>
      <c r="O56" s="157" t="s">
        <v>381</v>
      </c>
      <c r="P56" s="157" t="s">
        <v>318</v>
      </c>
      <c r="Q56" s="434"/>
      <c r="R56" s="101">
        <v>11600000</v>
      </c>
      <c r="S56" s="453" t="s">
        <v>386</v>
      </c>
      <c r="T56" s="399"/>
      <c r="U56" s="253" t="s">
        <v>267</v>
      </c>
      <c r="V56" s="497">
        <v>600000</v>
      </c>
      <c r="W56" s="497">
        <v>1000000</v>
      </c>
      <c r="X56" s="499">
        <v>1000000</v>
      </c>
      <c r="Y56" s="499">
        <v>1000000</v>
      </c>
      <c r="Z56" s="499">
        <v>1000000</v>
      </c>
      <c r="AA56" s="499">
        <v>1000000</v>
      </c>
      <c r="AB56" s="499">
        <v>1000000</v>
      </c>
      <c r="AC56" s="499">
        <v>1000000</v>
      </c>
      <c r="AD56" s="499">
        <v>1000000</v>
      </c>
      <c r="AE56" s="499">
        <v>1000000</v>
      </c>
      <c r="AF56" s="499">
        <v>1000000</v>
      </c>
      <c r="AG56" s="499">
        <v>1000000</v>
      </c>
      <c r="AH56" s="501">
        <f t="shared" si="2"/>
        <v>11600000</v>
      </c>
      <c r="AI56" s="535">
        <v>15721</v>
      </c>
      <c r="AJ56" s="538">
        <v>44242</v>
      </c>
      <c r="AK56" s="536">
        <v>11600000</v>
      </c>
      <c r="AL56" s="536">
        <v>11600000</v>
      </c>
      <c r="AM56" s="536">
        <v>11600000</v>
      </c>
      <c r="AN56" s="532">
        <f>+R56-AL56</f>
        <v>0</v>
      </c>
      <c r="AO56" s="532">
        <f>+AL56-AM56</f>
        <v>0</v>
      </c>
      <c r="AP56" s="532">
        <f>R56-AL56+AO56</f>
        <v>0</v>
      </c>
      <c r="AR56" s="285"/>
      <c r="AS56" s="285"/>
      <c r="AT56" s="285"/>
      <c r="AU56" s="285"/>
      <c r="AV56" s="285"/>
      <c r="AW56" s="285"/>
      <c r="AX56" s="285"/>
      <c r="AY56" s="285"/>
      <c r="AZ56" s="285"/>
      <c r="BA56" s="285"/>
      <c r="BB56" s="285"/>
      <c r="BC56" s="285"/>
      <c r="BD56" s="285"/>
      <c r="BE56" s="285"/>
      <c r="BF56" s="285"/>
      <c r="BG56" s="285"/>
      <c r="BH56" s="285"/>
      <c r="BI56" s="285"/>
      <c r="BJ56" s="285"/>
      <c r="BK56" s="285"/>
      <c r="BL56" s="285"/>
      <c r="BM56" s="285"/>
      <c r="BN56" s="285"/>
      <c r="BO56" s="285"/>
      <c r="BP56" s="285"/>
      <c r="BQ56" s="285"/>
      <c r="BR56" s="285"/>
      <c r="BS56" s="285"/>
      <c r="BT56" s="285"/>
      <c r="BU56" s="285"/>
      <c r="BV56" s="285"/>
    </row>
    <row r="57" spans="2:74" ht="30" customHeight="1" x14ac:dyDescent="0.2">
      <c r="B57" s="397" t="s">
        <v>7</v>
      </c>
      <c r="C57" s="395" t="s">
        <v>20</v>
      </c>
      <c r="D57" s="395" t="s">
        <v>20</v>
      </c>
      <c r="E57" s="395" t="s">
        <v>8</v>
      </c>
      <c r="F57" s="395" t="s">
        <v>11</v>
      </c>
      <c r="G57" s="395" t="s">
        <v>11</v>
      </c>
      <c r="H57" s="395" t="s">
        <v>24</v>
      </c>
      <c r="I57" s="395"/>
      <c r="J57" s="405"/>
      <c r="K57" s="397"/>
      <c r="L57" s="404" t="s">
        <v>61</v>
      </c>
      <c r="M57" s="133"/>
      <c r="N57" s="133"/>
      <c r="O57" s="156"/>
      <c r="P57" s="156"/>
      <c r="Q57" s="434">
        <v>90000000</v>
      </c>
      <c r="R57" s="5">
        <f>SUM(R58:R58)</f>
        <v>70000000</v>
      </c>
      <c r="S57" s="181"/>
      <c r="T57" s="396"/>
      <c r="U57" s="245"/>
      <c r="V57" s="497">
        <f>SUM(V58:V58)</f>
        <v>4000000</v>
      </c>
      <c r="W57" s="497">
        <f>SUM(W58:W58)</f>
        <v>6000000</v>
      </c>
      <c r="X57" s="498">
        <f>SUM(X58:X58)</f>
        <v>6000000</v>
      </c>
      <c r="Y57" s="498">
        <f>SUM(Y58:Y58)</f>
        <v>6000000</v>
      </c>
      <c r="Z57" s="498">
        <f>SUM(Z58:Z58)</f>
        <v>6000000</v>
      </c>
      <c r="AA57" s="498">
        <f t="shared" ref="AA57:AG57" si="39">SUM(AA58:AA58)</f>
        <v>6000000</v>
      </c>
      <c r="AB57" s="498">
        <f t="shared" si="39"/>
        <v>6000000</v>
      </c>
      <c r="AC57" s="498">
        <f t="shared" si="39"/>
        <v>6000000</v>
      </c>
      <c r="AD57" s="498">
        <f t="shared" si="39"/>
        <v>6000000</v>
      </c>
      <c r="AE57" s="498">
        <f t="shared" si="39"/>
        <v>6000000</v>
      </c>
      <c r="AF57" s="498">
        <f t="shared" si="39"/>
        <v>6000000</v>
      </c>
      <c r="AG57" s="498">
        <f t="shared" si="39"/>
        <v>6000000</v>
      </c>
      <c r="AH57" s="501">
        <f t="shared" si="2"/>
        <v>70000000</v>
      </c>
      <c r="AI57" s="535"/>
      <c r="AJ57" s="535"/>
      <c r="AK57" s="536"/>
      <c r="AL57" s="536"/>
      <c r="AM57" s="536"/>
      <c r="AR57" s="285"/>
      <c r="AS57" s="285"/>
      <c r="AT57" s="285"/>
      <c r="AU57" s="285"/>
      <c r="AV57" s="285"/>
      <c r="AW57" s="285"/>
      <c r="AX57" s="285"/>
      <c r="AY57" s="285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5"/>
      <c r="BR57" s="285"/>
      <c r="BS57" s="285"/>
      <c r="BT57" s="285"/>
      <c r="BU57" s="285"/>
      <c r="BV57" s="285"/>
    </row>
    <row r="58" spans="2:74" ht="15" customHeight="1" x14ac:dyDescent="0.2">
      <c r="B58" s="677"/>
      <c r="C58" s="678"/>
      <c r="D58" s="678"/>
      <c r="E58" s="678"/>
      <c r="F58" s="678"/>
      <c r="G58" s="678"/>
      <c r="H58" s="678"/>
      <c r="I58" s="678"/>
      <c r="J58" s="678"/>
      <c r="K58" s="398">
        <v>15101500</v>
      </c>
      <c r="L58" s="400" t="s">
        <v>238</v>
      </c>
      <c r="M58" s="134">
        <v>44216</v>
      </c>
      <c r="N58" s="134" t="s">
        <v>539</v>
      </c>
      <c r="O58" s="157" t="s">
        <v>381</v>
      </c>
      <c r="P58" s="157" t="s">
        <v>382</v>
      </c>
      <c r="Q58" s="434"/>
      <c r="R58" s="101">
        <v>70000000</v>
      </c>
      <c r="S58" s="453" t="s">
        <v>386</v>
      </c>
      <c r="T58" s="399"/>
      <c r="U58" s="253" t="s">
        <v>267</v>
      </c>
      <c r="V58" s="497">
        <v>4000000</v>
      </c>
      <c r="W58" s="497">
        <v>6000000</v>
      </c>
      <c r="X58" s="499">
        <v>6000000</v>
      </c>
      <c r="Y58" s="499">
        <v>6000000</v>
      </c>
      <c r="Z58" s="499">
        <v>6000000</v>
      </c>
      <c r="AA58" s="499">
        <v>6000000</v>
      </c>
      <c r="AB58" s="499">
        <v>6000000</v>
      </c>
      <c r="AC58" s="499">
        <v>6000000</v>
      </c>
      <c r="AD58" s="499">
        <v>6000000</v>
      </c>
      <c r="AE58" s="499">
        <v>6000000</v>
      </c>
      <c r="AF58" s="499">
        <v>6000000</v>
      </c>
      <c r="AG58" s="499">
        <v>6000000</v>
      </c>
      <c r="AH58" s="501">
        <f t="shared" si="2"/>
        <v>70000000</v>
      </c>
      <c r="AI58" s="535">
        <v>6721</v>
      </c>
      <c r="AJ58" s="538">
        <v>44218</v>
      </c>
      <c r="AK58" s="536">
        <v>70000000</v>
      </c>
      <c r="AL58" s="536">
        <v>70000000</v>
      </c>
      <c r="AM58" s="536">
        <v>70000000</v>
      </c>
      <c r="AN58" s="532">
        <f>+R58-AL58</f>
        <v>0</v>
      </c>
      <c r="AO58" s="532">
        <f>+AL58-AM58</f>
        <v>0</v>
      </c>
      <c r="AP58" s="532">
        <f>R58-AL58+AO58</f>
        <v>0</v>
      </c>
      <c r="AR58" s="285"/>
      <c r="AS58" s="285"/>
      <c r="AT58" s="285"/>
      <c r="AU58" s="285"/>
      <c r="AV58" s="285"/>
      <c r="AW58" s="285"/>
      <c r="AX58" s="285"/>
      <c r="AY58" s="285"/>
      <c r="AZ58" s="285"/>
      <c r="BA58" s="285"/>
      <c r="BB58" s="285"/>
      <c r="BC58" s="285"/>
      <c r="BD58" s="285"/>
      <c r="BE58" s="285"/>
      <c r="BF58" s="285"/>
      <c r="BG58" s="285"/>
      <c r="BH58" s="285"/>
      <c r="BI58" s="285"/>
      <c r="BJ58" s="285"/>
      <c r="BK58" s="285"/>
      <c r="BL58" s="285"/>
      <c r="BM58" s="285"/>
      <c r="BN58" s="285"/>
      <c r="BO58" s="285"/>
      <c r="BP58" s="285"/>
      <c r="BQ58" s="285"/>
      <c r="BR58" s="285"/>
      <c r="BS58" s="285"/>
      <c r="BT58" s="285"/>
      <c r="BU58" s="285"/>
      <c r="BV58" s="285"/>
    </row>
    <row r="59" spans="2:74" ht="15" customHeight="1" x14ac:dyDescent="0.2">
      <c r="B59" s="91" t="s">
        <v>7</v>
      </c>
      <c r="C59" s="92" t="s">
        <v>20</v>
      </c>
      <c r="D59" s="92" t="s">
        <v>20</v>
      </c>
      <c r="E59" s="92" t="s">
        <v>8</v>
      </c>
      <c r="F59" s="92" t="s">
        <v>11</v>
      </c>
      <c r="G59" s="92" t="s">
        <v>12</v>
      </c>
      <c r="H59" s="92"/>
      <c r="I59" s="92"/>
      <c r="J59" s="196"/>
      <c r="K59" s="91"/>
      <c r="L59" s="412" t="s">
        <v>62</v>
      </c>
      <c r="M59" s="132"/>
      <c r="N59" s="132"/>
      <c r="O59" s="155"/>
      <c r="P59" s="155"/>
      <c r="Q59" s="434">
        <f>+Q60</f>
        <v>1100000</v>
      </c>
      <c r="R59" s="94">
        <f>+R60</f>
        <v>1097100</v>
      </c>
      <c r="S59" s="92"/>
      <c r="T59" s="95"/>
      <c r="U59" s="244"/>
      <c r="V59" s="497">
        <f>+V60</f>
        <v>0</v>
      </c>
      <c r="W59" s="497">
        <f>+W60</f>
        <v>0</v>
      </c>
      <c r="X59" s="498">
        <f>+X60</f>
        <v>0</v>
      </c>
      <c r="Y59" s="498">
        <f>+Y60</f>
        <v>0</v>
      </c>
      <c r="Z59" s="498">
        <f>+Z60</f>
        <v>0</v>
      </c>
      <c r="AA59" s="498">
        <f t="shared" ref="AA59:AG59" si="40">+AA60</f>
        <v>365700</v>
      </c>
      <c r="AB59" s="498">
        <f t="shared" si="40"/>
        <v>0</v>
      </c>
      <c r="AC59" s="498">
        <f t="shared" si="40"/>
        <v>0</v>
      </c>
      <c r="AD59" s="498">
        <f t="shared" si="40"/>
        <v>365700</v>
      </c>
      <c r="AE59" s="498">
        <f t="shared" si="40"/>
        <v>0</v>
      </c>
      <c r="AF59" s="498">
        <f t="shared" si="40"/>
        <v>0</v>
      </c>
      <c r="AG59" s="498">
        <f t="shared" si="40"/>
        <v>365700</v>
      </c>
      <c r="AH59" s="501">
        <f t="shared" si="2"/>
        <v>1097100</v>
      </c>
      <c r="AI59" s="535"/>
      <c r="AJ59" s="535"/>
      <c r="AK59" s="536"/>
      <c r="AL59" s="536"/>
      <c r="AM59" s="536"/>
      <c r="AR59" s="285"/>
      <c r="AS59" s="285"/>
      <c r="AT59" s="285"/>
      <c r="AU59" s="285"/>
      <c r="AV59" s="285"/>
      <c r="AW59" s="285"/>
      <c r="AX59" s="285"/>
      <c r="AY59" s="285"/>
      <c r="AZ59" s="285"/>
      <c r="BA59" s="285"/>
      <c r="BB59" s="285"/>
      <c r="BC59" s="285"/>
      <c r="BD59" s="285"/>
      <c r="BE59" s="285"/>
      <c r="BF59" s="285"/>
      <c r="BG59" s="285"/>
      <c r="BH59" s="285"/>
      <c r="BI59" s="285"/>
      <c r="BJ59" s="285"/>
      <c r="BK59" s="285"/>
      <c r="BL59" s="285"/>
      <c r="BM59" s="285"/>
      <c r="BN59" s="285"/>
      <c r="BO59" s="285"/>
      <c r="BP59" s="285"/>
      <c r="BQ59" s="285"/>
      <c r="BR59" s="285"/>
      <c r="BS59" s="285"/>
      <c r="BT59" s="285"/>
      <c r="BU59" s="285"/>
      <c r="BV59" s="285"/>
    </row>
    <row r="60" spans="2:74" ht="15" customHeight="1" x14ac:dyDescent="0.2">
      <c r="B60" s="397" t="s">
        <v>7</v>
      </c>
      <c r="C60" s="395" t="s">
        <v>20</v>
      </c>
      <c r="D60" s="395" t="s">
        <v>20</v>
      </c>
      <c r="E60" s="395" t="s">
        <v>8</v>
      </c>
      <c r="F60" s="395" t="s">
        <v>11</v>
      </c>
      <c r="G60" s="395" t="s">
        <v>12</v>
      </c>
      <c r="H60" s="395" t="s">
        <v>28</v>
      </c>
      <c r="I60" s="395"/>
      <c r="J60" s="405"/>
      <c r="K60" s="397"/>
      <c r="L60" s="404" t="s">
        <v>63</v>
      </c>
      <c r="M60" s="133"/>
      <c r="N60" s="133"/>
      <c r="O60" s="156"/>
      <c r="P60" s="156"/>
      <c r="Q60" s="434">
        <v>1100000</v>
      </c>
      <c r="R60" s="5">
        <f>SUM(R61:R61)</f>
        <v>1097100</v>
      </c>
      <c r="S60" s="181"/>
      <c r="T60" s="396"/>
      <c r="U60" s="245"/>
      <c r="V60" s="497">
        <f>SUM(V61:V61)</f>
        <v>0</v>
      </c>
      <c r="W60" s="497">
        <f>SUM(W61:W61)</f>
        <v>0</v>
      </c>
      <c r="X60" s="498">
        <f>SUM(X61:X61)</f>
        <v>0</v>
      </c>
      <c r="Y60" s="498">
        <f>SUM(Y61:Y61)</f>
        <v>0</v>
      </c>
      <c r="Z60" s="498">
        <f>SUM(Z61:Z61)</f>
        <v>0</v>
      </c>
      <c r="AA60" s="498">
        <f t="shared" ref="AA60:AG60" si="41">SUM(AA61:AA61)</f>
        <v>365700</v>
      </c>
      <c r="AB60" s="498">
        <f t="shared" si="41"/>
        <v>0</v>
      </c>
      <c r="AC60" s="498">
        <f t="shared" si="41"/>
        <v>0</v>
      </c>
      <c r="AD60" s="498">
        <f t="shared" si="41"/>
        <v>365700</v>
      </c>
      <c r="AE60" s="498">
        <f t="shared" si="41"/>
        <v>0</v>
      </c>
      <c r="AF60" s="498">
        <f t="shared" si="41"/>
        <v>0</v>
      </c>
      <c r="AG60" s="498">
        <f t="shared" si="41"/>
        <v>365700</v>
      </c>
      <c r="AH60" s="501">
        <f t="shared" si="2"/>
        <v>1097100</v>
      </c>
      <c r="AI60" s="535"/>
      <c r="AJ60" s="535"/>
      <c r="AK60" s="536"/>
      <c r="AL60" s="536"/>
      <c r="AM60" s="536"/>
      <c r="AR60" s="285"/>
      <c r="AS60" s="285"/>
      <c r="AT60" s="285"/>
      <c r="AU60" s="285"/>
      <c r="AV60" s="285"/>
      <c r="AW60" s="285"/>
      <c r="AX60" s="285"/>
      <c r="AY60" s="285"/>
      <c r="AZ60" s="285"/>
      <c r="BA60" s="285"/>
      <c r="BB60" s="285"/>
      <c r="BC60" s="285"/>
      <c r="BD60" s="285"/>
      <c r="BE60" s="285"/>
      <c r="BF60" s="285"/>
      <c r="BG60" s="285"/>
      <c r="BH60" s="285"/>
      <c r="BI60" s="285"/>
      <c r="BJ60" s="285"/>
      <c r="BK60" s="285"/>
      <c r="BL60" s="285"/>
      <c r="BM60" s="285"/>
      <c r="BN60" s="285"/>
      <c r="BO60" s="285"/>
      <c r="BP60" s="285"/>
      <c r="BQ60" s="285"/>
      <c r="BR60" s="285"/>
      <c r="BS60" s="285"/>
      <c r="BT60" s="285"/>
      <c r="BU60" s="285"/>
      <c r="BV60" s="285"/>
    </row>
    <row r="61" spans="2:74" ht="105" x14ac:dyDescent="0.2">
      <c r="B61" s="677"/>
      <c r="C61" s="678"/>
      <c r="D61" s="678"/>
      <c r="E61" s="678"/>
      <c r="F61" s="678"/>
      <c r="G61" s="678"/>
      <c r="H61" s="678"/>
      <c r="I61" s="678"/>
      <c r="J61" s="678"/>
      <c r="K61" s="177" t="s">
        <v>363</v>
      </c>
      <c r="L61" s="400" t="s">
        <v>563</v>
      </c>
      <c r="M61" s="134">
        <v>44260</v>
      </c>
      <c r="N61" s="134" t="s">
        <v>574</v>
      </c>
      <c r="O61" s="157" t="s">
        <v>326</v>
      </c>
      <c r="P61" s="157" t="s">
        <v>360</v>
      </c>
      <c r="Q61" s="434"/>
      <c r="R61" s="564">
        <v>1097100</v>
      </c>
      <c r="S61" s="402" t="s">
        <v>386</v>
      </c>
      <c r="T61" s="399"/>
      <c r="U61" s="253" t="s">
        <v>194</v>
      </c>
      <c r="V61" s="497"/>
      <c r="W61" s="497"/>
      <c r="X61" s="498"/>
      <c r="Y61" s="498"/>
      <c r="Z61" s="498"/>
      <c r="AA61" s="498">
        <v>365700</v>
      </c>
      <c r="AB61" s="498"/>
      <c r="AC61" s="498"/>
      <c r="AD61" s="498">
        <v>365700</v>
      </c>
      <c r="AE61" s="498"/>
      <c r="AF61" s="498"/>
      <c r="AG61" s="498">
        <v>365700</v>
      </c>
      <c r="AH61" s="501">
        <f t="shared" si="2"/>
        <v>1097100</v>
      </c>
      <c r="AI61" s="535">
        <v>41221</v>
      </c>
      <c r="AJ61" s="538">
        <v>44326</v>
      </c>
      <c r="AK61" s="536">
        <v>1097100</v>
      </c>
      <c r="AL61" s="536">
        <v>0</v>
      </c>
      <c r="AM61" s="536">
        <v>0</v>
      </c>
      <c r="AN61" s="532">
        <f>+R61-AL61</f>
        <v>1097100</v>
      </c>
      <c r="AO61" s="532">
        <f>+AL61-AM61</f>
        <v>0</v>
      </c>
      <c r="AP61" s="633">
        <f>R61-AL61+AO61</f>
        <v>1097100</v>
      </c>
      <c r="AQ61" s="567"/>
      <c r="AR61" s="285"/>
      <c r="AS61" s="285"/>
      <c r="AT61" s="285"/>
      <c r="AU61" s="285"/>
      <c r="AV61" s="285"/>
      <c r="AW61" s="285"/>
      <c r="AX61" s="285"/>
      <c r="AY61" s="285"/>
      <c r="AZ61" s="285"/>
      <c r="BA61" s="285"/>
      <c r="BB61" s="285"/>
      <c r="BC61" s="285"/>
      <c r="BD61" s="285"/>
      <c r="BE61" s="285"/>
      <c r="BF61" s="285"/>
      <c r="BG61" s="285"/>
      <c r="BH61" s="285"/>
      <c r="BI61" s="285"/>
      <c r="BJ61" s="285"/>
      <c r="BK61" s="285"/>
      <c r="BL61" s="285"/>
      <c r="BM61" s="285"/>
      <c r="BN61" s="285"/>
      <c r="BO61" s="285"/>
      <c r="BP61" s="285"/>
      <c r="BQ61" s="285"/>
      <c r="BR61" s="285"/>
      <c r="BS61" s="285"/>
      <c r="BT61" s="285"/>
      <c r="BU61" s="285"/>
      <c r="BV61" s="285"/>
    </row>
    <row r="62" spans="2:74" ht="30" customHeight="1" x14ac:dyDescent="0.2">
      <c r="B62" s="91" t="s">
        <v>7</v>
      </c>
      <c r="C62" s="92" t="s">
        <v>20</v>
      </c>
      <c r="D62" s="92" t="s">
        <v>20</v>
      </c>
      <c r="E62" s="92" t="s">
        <v>8</v>
      </c>
      <c r="F62" s="92" t="s">
        <v>11</v>
      </c>
      <c r="G62" s="92" t="s">
        <v>13</v>
      </c>
      <c r="H62" s="92"/>
      <c r="I62" s="92"/>
      <c r="J62" s="196"/>
      <c r="K62" s="91"/>
      <c r="L62" s="412" t="s">
        <v>64</v>
      </c>
      <c r="M62" s="132"/>
      <c r="N62" s="132"/>
      <c r="O62" s="155"/>
      <c r="P62" s="155"/>
      <c r="Q62" s="434">
        <f>+Q63+Q65</f>
        <v>34300000</v>
      </c>
      <c r="R62" s="94">
        <f>+R63+R65</f>
        <v>22184900</v>
      </c>
      <c r="S62" s="92"/>
      <c r="T62" s="95"/>
      <c r="U62" s="244"/>
      <c r="V62" s="497">
        <f>+V63+V65</f>
        <v>0</v>
      </c>
      <c r="W62" s="497">
        <f>+W63+W65</f>
        <v>0</v>
      </c>
      <c r="X62" s="498">
        <f>+X63+X65</f>
        <v>0</v>
      </c>
      <c r="Y62" s="498">
        <f>+Y63+Y65</f>
        <v>0</v>
      </c>
      <c r="Z62" s="498">
        <f>+Z63+Z65</f>
        <v>0</v>
      </c>
      <c r="AA62" s="498">
        <f t="shared" ref="AA62:AF62" si="42">+AA63+AA65</f>
        <v>4728300</v>
      </c>
      <c r="AB62" s="498">
        <f t="shared" si="42"/>
        <v>0</v>
      </c>
      <c r="AC62" s="498">
        <f t="shared" si="42"/>
        <v>0</v>
      </c>
      <c r="AD62" s="498">
        <f t="shared" si="42"/>
        <v>12728300</v>
      </c>
      <c r="AE62" s="498">
        <f t="shared" si="42"/>
        <v>0</v>
      </c>
      <c r="AF62" s="498">
        <f t="shared" si="42"/>
        <v>0</v>
      </c>
      <c r="AG62" s="498">
        <f t="shared" ref="AG62" si="43">+AG63+AG65</f>
        <v>4728300</v>
      </c>
      <c r="AH62" s="501">
        <f t="shared" si="2"/>
        <v>22184900</v>
      </c>
      <c r="AI62" s="535"/>
      <c r="AJ62" s="535"/>
      <c r="AK62" s="536"/>
      <c r="AL62" s="536"/>
      <c r="AM62" s="536"/>
      <c r="AR62" s="285"/>
      <c r="AS62" s="285"/>
      <c r="AT62" s="285"/>
      <c r="AU62" s="285"/>
      <c r="AV62" s="285"/>
      <c r="AW62" s="285"/>
      <c r="AX62" s="285"/>
      <c r="AY62" s="285"/>
      <c r="AZ62" s="285"/>
      <c r="BA62" s="285"/>
      <c r="BB62" s="285"/>
      <c r="BC62" s="285"/>
      <c r="BD62" s="285"/>
      <c r="BE62" s="285"/>
      <c r="BF62" s="285"/>
      <c r="BG62" s="285"/>
      <c r="BH62" s="285"/>
      <c r="BI62" s="285"/>
      <c r="BJ62" s="285"/>
      <c r="BK62" s="285"/>
      <c r="BL62" s="285"/>
      <c r="BM62" s="285"/>
      <c r="BN62" s="285"/>
      <c r="BO62" s="285"/>
      <c r="BP62" s="285"/>
      <c r="BQ62" s="285"/>
      <c r="BR62" s="285"/>
      <c r="BS62" s="285"/>
      <c r="BT62" s="285"/>
      <c r="BU62" s="285"/>
      <c r="BV62" s="285"/>
    </row>
    <row r="63" spans="2:74" ht="15" customHeight="1" x14ac:dyDescent="0.2">
      <c r="B63" s="397" t="s">
        <v>7</v>
      </c>
      <c r="C63" s="395" t="s">
        <v>20</v>
      </c>
      <c r="D63" s="395" t="s">
        <v>20</v>
      </c>
      <c r="E63" s="395" t="s">
        <v>8</v>
      </c>
      <c r="F63" s="395" t="s">
        <v>11</v>
      </c>
      <c r="G63" s="395" t="s">
        <v>13</v>
      </c>
      <c r="H63" s="395" t="s">
        <v>20</v>
      </c>
      <c r="I63" s="395"/>
      <c r="J63" s="405"/>
      <c r="K63" s="397"/>
      <c r="L63" s="404" t="s">
        <v>140</v>
      </c>
      <c r="M63" s="133"/>
      <c r="N63" s="133"/>
      <c r="O63" s="156"/>
      <c r="P63" s="156"/>
      <c r="Q63" s="434">
        <v>7300000</v>
      </c>
      <c r="R63" s="5">
        <f>SUM(R64:R64)</f>
        <v>8000000</v>
      </c>
      <c r="S63" s="181"/>
      <c r="T63" s="396"/>
      <c r="U63" s="245"/>
      <c r="V63" s="497">
        <f>SUM(V64:V64)</f>
        <v>0</v>
      </c>
      <c r="W63" s="497">
        <f>SUM(W64:W64)</f>
        <v>0</v>
      </c>
      <c r="X63" s="498">
        <f>SUM(X64:X64)</f>
        <v>0</v>
      </c>
      <c r="Y63" s="498">
        <f>SUM(Y64:Y64)</f>
        <v>0</v>
      </c>
      <c r="Z63" s="498">
        <f>SUM(Z64:Z64)</f>
        <v>0</v>
      </c>
      <c r="AA63" s="498">
        <f t="shared" ref="AA63:AG63" si="44">SUM(AA64:AA64)</f>
        <v>0</v>
      </c>
      <c r="AB63" s="498">
        <f t="shared" si="44"/>
        <v>0</v>
      </c>
      <c r="AC63" s="498">
        <f t="shared" si="44"/>
        <v>0</v>
      </c>
      <c r="AD63" s="498">
        <f t="shared" si="44"/>
        <v>8000000</v>
      </c>
      <c r="AE63" s="498">
        <f t="shared" si="44"/>
        <v>0</v>
      </c>
      <c r="AF63" s="498">
        <f t="shared" si="44"/>
        <v>0</v>
      </c>
      <c r="AG63" s="498">
        <f t="shared" si="44"/>
        <v>0</v>
      </c>
      <c r="AH63" s="501">
        <f t="shared" si="2"/>
        <v>8000000</v>
      </c>
      <c r="AI63" s="535"/>
      <c r="AJ63" s="535"/>
      <c r="AK63" s="536"/>
      <c r="AL63" s="536"/>
      <c r="AM63" s="536"/>
      <c r="AR63" s="285"/>
      <c r="AS63" s="285"/>
      <c r="AT63" s="285"/>
      <c r="AU63" s="285"/>
      <c r="AV63" s="285"/>
      <c r="AW63" s="285"/>
      <c r="AX63" s="285"/>
      <c r="AY63" s="285"/>
      <c r="AZ63" s="285"/>
      <c r="BA63" s="285"/>
      <c r="BB63" s="285"/>
      <c r="BC63" s="285"/>
      <c r="BD63" s="285"/>
      <c r="BE63" s="285"/>
      <c r="BF63" s="285"/>
      <c r="BG63" s="285"/>
      <c r="BH63" s="285"/>
      <c r="BI63" s="285"/>
      <c r="BJ63" s="285"/>
      <c r="BK63" s="285"/>
      <c r="BL63" s="285"/>
      <c r="BM63" s="285"/>
      <c r="BN63" s="285"/>
      <c r="BO63" s="285"/>
      <c r="BP63" s="285"/>
      <c r="BQ63" s="285"/>
      <c r="BR63" s="285"/>
      <c r="BS63" s="285"/>
      <c r="BT63" s="285"/>
      <c r="BU63" s="285"/>
      <c r="BV63" s="285"/>
    </row>
    <row r="64" spans="2:74" ht="180" customHeight="1" x14ac:dyDescent="0.2">
      <c r="B64" s="677"/>
      <c r="C64" s="678"/>
      <c r="D64" s="678"/>
      <c r="E64" s="678"/>
      <c r="F64" s="678"/>
      <c r="G64" s="678"/>
      <c r="H64" s="678"/>
      <c r="I64" s="678"/>
      <c r="J64" s="678"/>
      <c r="K64" s="450" t="s">
        <v>492</v>
      </c>
      <c r="L64" s="400" t="s">
        <v>186</v>
      </c>
      <c r="M64" s="134">
        <v>44319</v>
      </c>
      <c r="N64" s="134" t="s">
        <v>575</v>
      </c>
      <c r="O64" s="157" t="s">
        <v>487</v>
      </c>
      <c r="P64" s="157" t="s">
        <v>483</v>
      </c>
      <c r="Q64" s="434"/>
      <c r="R64" s="101">
        <v>8000000</v>
      </c>
      <c r="S64" s="453" t="s">
        <v>386</v>
      </c>
      <c r="T64" s="399"/>
      <c r="U64" s="253" t="s">
        <v>466</v>
      </c>
      <c r="V64" s="497"/>
      <c r="W64" s="497"/>
      <c r="X64" s="498"/>
      <c r="Y64" s="498"/>
      <c r="Z64" s="498"/>
      <c r="AA64" s="498"/>
      <c r="AB64" s="498"/>
      <c r="AC64" s="498"/>
      <c r="AD64" s="498">
        <v>8000000</v>
      </c>
      <c r="AE64" s="498"/>
      <c r="AF64" s="498"/>
      <c r="AG64" s="498"/>
      <c r="AH64" s="501">
        <f t="shared" si="2"/>
        <v>8000000</v>
      </c>
      <c r="AI64" s="535">
        <v>41321</v>
      </c>
      <c r="AJ64" s="538">
        <v>44328</v>
      </c>
      <c r="AK64" s="536">
        <v>8000000</v>
      </c>
      <c r="AL64" s="536">
        <v>7040075</v>
      </c>
      <c r="AM64" s="536">
        <v>7040075</v>
      </c>
      <c r="AN64" s="532">
        <f>+R64-AL64</f>
        <v>959925</v>
      </c>
      <c r="AO64" s="532">
        <f>+AL64-AM64</f>
        <v>0</v>
      </c>
      <c r="AP64" s="533">
        <f>R64-AL64+AO64</f>
        <v>959925</v>
      </c>
      <c r="AQ64" s="440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5"/>
      <c r="BK64" s="285"/>
      <c r="BL64" s="285"/>
      <c r="BM64" s="285"/>
      <c r="BN64" s="285"/>
      <c r="BO64" s="285"/>
      <c r="BP64" s="285"/>
      <c r="BQ64" s="285"/>
      <c r="BR64" s="285"/>
      <c r="BS64" s="285"/>
      <c r="BT64" s="285"/>
      <c r="BU64" s="285"/>
      <c r="BV64" s="285"/>
    </row>
    <row r="65" spans="2:74" ht="30" customHeight="1" x14ac:dyDescent="0.2">
      <c r="B65" s="397" t="s">
        <v>7</v>
      </c>
      <c r="C65" s="395" t="s">
        <v>20</v>
      </c>
      <c r="D65" s="395" t="s">
        <v>20</v>
      </c>
      <c r="E65" s="395" t="s">
        <v>8</v>
      </c>
      <c r="F65" s="395" t="s">
        <v>11</v>
      </c>
      <c r="G65" s="395" t="s">
        <v>13</v>
      </c>
      <c r="H65" s="395" t="s">
        <v>23</v>
      </c>
      <c r="I65" s="395"/>
      <c r="J65" s="405"/>
      <c r="K65" s="397"/>
      <c r="L65" s="404" t="s">
        <v>65</v>
      </c>
      <c r="M65" s="133"/>
      <c r="N65" s="133"/>
      <c r="O65" s="156"/>
      <c r="P65" s="156"/>
      <c r="Q65" s="434">
        <v>27000000</v>
      </c>
      <c r="R65" s="5">
        <f>SUM(R66:R66)</f>
        <v>14184900</v>
      </c>
      <c r="S65" s="181"/>
      <c r="T65" s="396"/>
      <c r="U65" s="245"/>
      <c r="V65" s="497">
        <f>SUM(V66:V66)</f>
        <v>0</v>
      </c>
      <c r="W65" s="497">
        <f>SUM(W66:W66)</f>
        <v>0</v>
      </c>
      <c r="X65" s="498">
        <f>SUM(X66:X66)</f>
        <v>0</v>
      </c>
      <c r="Y65" s="498">
        <f>SUM(Y66:Y66)</f>
        <v>0</v>
      </c>
      <c r="Z65" s="498">
        <f>SUM(Z66:Z66)</f>
        <v>0</v>
      </c>
      <c r="AA65" s="498">
        <f t="shared" ref="AA65:AG65" si="45">SUM(AA66:AA66)</f>
        <v>4728300</v>
      </c>
      <c r="AB65" s="498">
        <f t="shared" si="45"/>
        <v>0</v>
      </c>
      <c r="AC65" s="498">
        <f t="shared" si="45"/>
        <v>0</v>
      </c>
      <c r="AD65" s="498">
        <f t="shared" si="45"/>
        <v>4728300</v>
      </c>
      <c r="AE65" s="498">
        <f t="shared" si="45"/>
        <v>0</v>
      </c>
      <c r="AF65" s="498">
        <f t="shared" si="45"/>
        <v>0</v>
      </c>
      <c r="AG65" s="498">
        <f t="shared" si="45"/>
        <v>4728300</v>
      </c>
      <c r="AH65" s="501">
        <f t="shared" si="2"/>
        <v>14184900</v>
      </c>
      <c r="AI65" s="535"/>
      <c r="AJ65" s="535"/>
      <c r="AK65" s="536"/>
      <c r="AL65" s="536"/>
      <c r="AM65" s="536"/>
      <c r="AR65" s="285"/>
      <c r="AS65" s="285"/>
      <c r="AT65" s="285"/>
      <c r="AU65" s="285"/>
      <c r="AV65" s="285"/>
      <c r="AW65" s="285"/>
      <c r="AX65" s="285"/>
      <c r="AY65" s="285"/>
      <c r="AZ65" s="285"/>
      <c r="BA65" s="285"/>
      <c r="BB65" s="285"/>
      <c r="BC65" s="285"/>
      <c r="BD65" s="285"/>
      <c r="BE65" s="285"/>
      <c r="BF65" s="285"/>
      <c r="BG65" s="285"/>
      <c r="BH65" s="285"/>
      <c r="BI65" s="285"/>
      <c r="BJ65" s="285"/>
      <c r="BK65" s="285"/>
      <c r="BL65" s="285"/>
      <c r="BM65" s="285"/>
      <c r="BN65" s="285"/>
      <c r="BO65" s="285"/>
      <c r="BP65" s="285"/>
      <c r="BQ65" s="285"/>
      <c r="BR65" s="285"/>
      <c r="BS65" s="285"/>
      <c r="BT65" s="285"/>
      <c r="BU65" s="285"/>
      <c r="BV65" s="285"/>
    </row>
    <row r="66" spans="2:74" ht="30" x14ac:dyDescent="0.2">
      <c r="B66" s="677"/>
      <c r="C66" s="678"/>
      <c r="D66" s="678"/>
      <c r="E66" s="678"/>
      <c r="F66" s="678"/>
      <c r="G66" s="678"/>
      <c r="H66" s="678"/>
      <c r="I66" s="678"/>
      <c r="J66" s="678"/>
      <c r="K66" s="177" t="s">
        <v>378</v>
      </c>
      <c r="L66" s="400" t="s">
        <v>565</v>
      </c>
      <c r="M66" s="134">
        <v>44260</v>
      </c>
      <c r="N66" s="134" t="s">
        <v>574</v>
      </c>
      <c r="O66" s="157" t="s">
        <v>326</v>
      </c>
      <c r="P66" s="157" t="s">
        <v>360</v>
      </c>
      <c r="Q66" s="434"/>
      <c r="R66" s="564">
        <v>14184900</v>
      </c>
      <c r="S66" s="402" t="s">
        <v>386</v>
      </c>
      <c r="T66" s="399"/>
      <c r="U66" s="253" t="s">
        <v>194</v>
      </c>
      <c r="V66" s="497"/>
      <c r="W66" s="497"/>
      <c r="X66" s="498"/>
      <c r="Y66" s="498"/>
      <c r="Z66" s="498"/>
      <c r="AA66" s="498">
        <v>4728300</v>
      </c>
      <c r="AB66" s="498"/>
      <c r="AC66" s="498"/>
      <c r="AD66" s="498">
        <v>4728300</v>
      </c>
      <c r="AE66" s="498"/>
      <c r="AF66" s="498"/>
      <c r="AG66" s="498">
        <v>4728300</v>
      </c>
      <c r="AH66" s="501">
        <f>SUM(V66:AG66)</f>
        <v>14184900</v>
      </c>
      <c r="AI66" s="535">
        <v>41221</v>
      </c>
      <c r="AJ66" s="538">
        <v>44326</v>
      </c>
      <c r="AK66" s="536">
        <v>14184900</v>
      </c>
      <c r="AL66" s="536">
        <v>12507449.529999999</v>
      </c>
      <c r="AM66" s="536">
        <v>12507449.529999999</v>
      </c>
      <c r="AN66" s="532">
        <f>+R66-AL66</f>
        <v>1677450.4700000007</v>
      </c>
      <c r="AO66" s="532">
        <f>+AL66-AM66</f>
        <v>0</v>
      </c>
      <c r="AP66" s="633">
        <f>R66-AL66+AO66</f>
        <v>1677450.4700000007</v>
      </c>
      <c r="AQ66" s="440"/>
      <c r="AR66" s="285"/>
      <c r="AS66" s="285"/>
      <c r="AT66" s="285"/>
      <c r="AU66" s="285"/>
      <c r="AV66" s="285"/>
      <c r="AW66" s="285"/>
      <c r="AX66" s="285"/>
      <c r="AY66" s="285"/>
      <c r="AZ66" s="285"/>
      <c r="BA66" s="285"/>
      <c r="BB66" s="285"/>
      <c r="BC66" s="285"/>
      <c r="BD66" s="285"/>
      <c r="BE66" s="285"/>
      <c r="BF66" s="285"/>
      <c r="BG66" s="285"/>
      <c r="BH66" s="285"/>
      <c r="BI66" s="285"/>
      <c r="BJ66" s="285"/>
      <c r="BK66" s="285"/>
      <c r="BL66" s="285"/>
      <c r="BM66" s="285"/>
      <c r="BN66" s="285"/>
      <c r="BO66" s="285"/>
      <c r="BP66" s="285"/>
      <c r="BQ66" s="285"/>
      <c r="BR66" s="285"/>
      <c r="BS66" s="285"/>
      <c r="BT66" s="285"/>
      <c r="BU66" s="285"/>
      <c r="BV66" s="285"/>
    </row>
    <row r="67" spans="2:74" ht="15" customHeight="1" x14ac:dyDescent="0.2">
      <c r="B67" s="91" t="s">
        <v>7</v>
      </c>
      <c r="C67" s="92" t="s">
        <v>20</v>
      </c>
      <c r="D67" s="92" t="s">
        <v>20</v>
      </c>
      <c r="E67" s="92" t="s">
        <v>8</v>
      </c>
      <c r="F67" s="92" t="s">
        <v>11</v>
      </c>
      <c r="G67" s="92" t="s">
        <v>14</v>
      </c>
      <c r="H67" s="92"/>
      <c r="I67" s="92"/>
      <c r="J67" s="196"/>
      <c r="K67" s="91"/>
      <c r="L67" s="412" t="s">
        <v>66</v>
      </c>
      <c r="M67" s="132"/>
      <c r="N67" s="132"/>
      <c r="O67" s="155"/>
      <c r="P67" s="155"/>
      <c r="Q67" s="434">
        <f>+Q68+Q70+Q72</f>
        <v>131600000</v>
      </c>
      <c r="R67" s="94">
        <f>+R68+R70+R72</f>
        <v>95526300</v>
      </c>
      <c r="S67" s="92"/>
      <c r="T67" s="95"/>
      <c r="U67" s="244"/>
      <c r="V67" s="497">
        <f>+V68+V70+V72</f>
        <v>0</v>
      </c>
      <c r="W67" s="497">
        <f t="shared" ref="W67:AG67" si="46">+W68+W70+W72</f>
        <v>0</v>
      </c>
      <c r="X67" s="499">
        <f t="shared" si="46"/>
        <v>0</v>
      </c>
      <c r="Y67" s="499">
        <f t="shared" si="46"/>
        <v>0</v>
      </c>
      <c r="Z67" s="499">
        <f t="shared" si="46"/>
        <v>0</v>
      </c>
      <c r="AA67" s="499">
        <f t="shared" si="46"/>
        <v>1440800</v>
      </c>
      <c r="AB67" s="499">
        <f t="shared" si="46"/>
        <v>48404000</v>
      </c>
      <c r="AC67" s="499">
        <f t="shared" si="46"/>
        <v>45000000</v>
      </c>
      <c r="AD67" s="499">
        <f t="shared" si="46"/>
        <v>1440800</v>
      </c>
      <c r="AE67" s="499">
        <f t="shared" si="46"/>
        <v>0</v>
      </c>
      <c r="AF67" s="499">
        <f t="shared" si="46"/>
        <v>0</v>
      </c>
      <c r="AG67" s="499">
        <f t="shared" si="46"/>
        <v>1440700</v>
      </c>
      <c r="AH67" s="501">
        <f t="shared" si="2"/>
        <v>97726300</v>
      </c>
      <c r="AI67" s="535"/>
      <c r="AJ67" s="535"/>
      <c r="AK67" s="536"/>
      <c r="AL67" s="536"/>
      <c r="AM67" s="536"/>
      <c r="AR67" s="285"/>
      <c r="AS67" s="285"/>
      <c r="AT67" s="285"/>
      <c r="AU67" s="285"/>
      <c r="AV67" s="285"/>
      <c r="AW67" s="285"/>
      <c r="AX67" s="285"/>
      <c r="AY67" s="285"/>
      <c r="AZ67" s="285"/>
      <c r="BA67" s="285"/>
      <c r="BB67" s="285"/>
      <c r="BC67" s="285"/>
      <c r="BD67" s="285"/>
      <c r="BE67" s="285"/>
      <c r="BF67" s="285"/>
      <c r="BG67" s="285"/>
      <c r="BH67" s="285"/>
      <c r="BI67" s="285"/>
      <c r="BJ67" s="285"/>
      <c r="BK67" s="285"/>
      <c r="BL67" s="285"/>
      <c r="BM67" s="285"/>
      <c r="BN67" s="285"/>
      <c r="BO67" s="285"/>
      <c r="BP67" s="285"/>
      <c r="BQ67" s="285"/>
      <c r="BR67" s="285"/>
      <c r="BS67" s="285"/>
      <c r="BT67" s="285"/>
      <c r="BU67" s="285"/>
      <c r="BV67" s="285"/>
    </row>
    <row r="68" spans="2:74" ht="15" customHeight="1" x14ac:dyDescent="0.2">
      <c r="B68" s="397" t="s">
        <v>7</v>
      </c>
      <c r="C68" s="395" t="s">
        <v>20</v>
      </c>
      <c r="D68" s="395" t="s">
        <v>20</v>
      </c>
      <c r="E68" s="395" t="s">
        <v>8</v>
      </c>
      <c r="F68" s="395" t="s">
        <v>11</v>
      </c>
      <c r="G68" s="395" t="s">
        <v>14</v>
      </c>
      <c r="H68" s="395" t="s">
        <v>8</v>
      </c>
      <c r="I68" s="395"/>
      <c r="J68" s="405"/>
      <c r="K68" s="397"/>
      <c r="L68" s="404" t="s">
        <v>67</v>
      </c>
      <c r="M68" s="133"/>
      <c r="N68" s="133"/>
      <c r="O68" s="156"/>
      <c r="P68" s="156"/>
      <c r="Q68" s="434">
        <v>10000000</v>
      </c>
      <c r="R68" s="5">
        <f>SUM(R69:R69)</f>
        <v>7800000</v>
      </c>
      <c r="S68" s="181"/>
      <c r="T68" s="396"/>
      <c r="U68" s="245"/>
      <c r="V68" s="497">
        <f>SUM(V69:V69)</f>
        <v>0</v>
      </c>
      <c r="W68" s="497">
        <f>SUM(W69:W69)</f>
        <v>0</v>
      </c>
      <c r="X68" s="498">
        <f>SUM(X69:X69)</f>
        <v>0</v>
      </c>
      <c r="Y68" s="498">
        <f>SUM(Y69:Y69)</f>
        <v>0</v>
      </c>
      <c r="Z68" s="498">
        <f>SUM(Z69:Z69)</f>
        <v>0</v>
      </c>
      <c r="AA68" s="498">
        <f t="shared" ref="AA68:AG68" si="47">SUM(AA69:AA69)</f>
        <v>0</v>
      </c>
      <c r="AB68" s="498">
        <f t="shared" si="47"/>
        <v>0</v>
      </c>
      <c r="AC68" s="498">
        <f t="shared" si="47"/>
        <v>10000000</v>
      </c>
      <c r="AD68" s="498">
        <f t="shared" si="47"/>
        <v>0</v>
      </c>
      <c r="AE68" s="498">
        <f t="shared" si="47"/>
        <v>0</v>
      </c>
      <c r="AF68" s="498">
        <f t="shared" si="47"/>
        <v>0</v>
      </c>
      <c r="AG68" s="498">
        <f t="shared" si="47"/>
        <v>0</v>
      </c>
      <c r="AH68" s="501">
        <f t="shared" si="2"/>
        <v>10000000</v>
      </c>
      <c r="AI68" s="535"/>
      <c r="AJ68" s="535"/>
      <c r="AK68" s="536"/>
      <c r="AL68" s="536"/>
      <c r="AM68" s="536"/>
      <c r="AR68" s="285"/>
      <c r="AS68" s="285"/>
      <c r="AT68" s="285"/>
      <c r="AU68" s="285"/>
      <c r="AV68" s="285"/>
      <c r="AW68" s="285"/>
      <c r="AX68" s="285"/>
      <c r="AY68" s="285"/>
      <c r="AZ68" s="285"/>
      <c r="BA68" s="285"/>
      <c r="BB68" s="285"/>
      <c r="BC68" s="285"/>
      <c r="BD68" s="285"/>
      <c r="BE68" s="285"/>
      <c r="BF68" s="285"/>
      <c r="BG68" s="285"/>
      <c r="BH68" s="285"/>
      <c r="BI68" s="285"/>
      <c r="BJ68" s="285"/>
      <c r="BK68" s="285"/>
      <c r="BL68" s="285"/>
      <c r="BM68" s="285"/>
      <c r="BN68" s="285"/>
      <c r="BO68" s="285"/>
      <c r="BP68" s="285"/>
      <c r="BQ68" s="285"/>
      <c r="BR68" s="285"/>
      <c r="BS68" s="285"/>
      <c r="BT68" s="285"/>
      <c r="BU68" s="285"/>
      <c r="BV68" s="285"/>
    </row>
    <row r="69" spans="2:74" ht="48" customHeight="1" x14ac:dyDescent="0.2">
      <c r="B69" s="677"/>
      <c r="C69" s="678"/>
      <c r="D69" s="678"/>
      <c r="E69" s="678"/>
      <c r="F69" s="678"/>
      <c r="G69" s="678"/>
      <c r="H69" s="678"/>
      <c r="I69" s="678"/>
      <c r="J69" s="678"/>
      <c r="K69" s="398">
        <v>25172500</v>
      </c>
      <c r="L69" s="400" t="s">
        <v>243</v>
      </c>
      <c r="M69" s="134">
        <v>44357</v>
      </c>
      <c r="N69" s="134" t="s">
        <v>572</v>
      </c>
      <c r="O69" s="157" t="s">
        <v>555</v>
      </c>
      <c r="P69" s="157" t="s">
        <v>318</v>
      </c>
      <c r="Q69" s="434"/>
      <c r="R69" s="101">
        <f>10000000-2200000</f>
        <v>7800000</v>
      </c>
      <c r="S69" s="453" t="s">
        <v>386</v>
      </c>
      <c r="T69" s="399"/>
      <c r="U69" s="253" t="s">
        <v>267</v>
      </c>
      <c r="V69" s="497"/>
      <c r="W69" s="497"/>
      <c r="X69" s="498"/>
      <c r="Y69" s="498"/>
      <c r="Z69" s="498"/>
      <c r="AA69" s="498"/>
      <c r="AB69" s="498"/>
      <c r="AC69" s="498">
        <v>10000000</v>
      </c>
      <c r="AD69" s="498"/>
      <c r="AE69" s="498"/>
      <c r="AF69" s="498"/>
      <c r="AG69" s="498"/>
      <c r="AH69" s="501">
        <f t="shared" si="2"/>
        <v>10000000</v>
      </c>
      <c r="AI69" s="535">
        <v>75121</v>
      </c>
      <c r="AJ69" s="538">
        <v>44456</v>
      </c>
      <c r="AK69" s="536">
        <v>7800000</v>
      </c>
      <c r="AL69" s="536">
        <v>7118763</v>
      </c>
      <c r="AM69" s="536">
        <v>7118763</v>
      </c>
      <c r="AN69" s="532">
        <f>+R69-AL69</f>
        <v>681237</v>
      </c>
      <c r="AO69" s="532">
        <f>+AL69-AM69</f>
        <v>0</v>
      </c>
      <c r="AP69" s="633">
        <f>R69-AL69+AO69</f>
        <v>681237</v>
      </c>
      <c r="AR69" s="285"/>
      <c r="AS69" s="285"/>
      <c r="AT69" s="285"/>
      <c r="AU69" s="285"/>
      <c r="AV69" s="285"/>
      <c r="AW69" s="285"/>
      <c r="AX69" s="285"/>
      <c r="AY69" s="285"/>
      <c r="AZ69" s="285"/>
      <c r="BA69" s="285"/>
      <c r="BB69" s="285"/>
      <c r="BC69" s="285"/>
      <c r="BD69" s="285"/>
      <c r="BE69" s="285"/>
      <c r="BF69" s="285"/>
      <c r="BG69" s="285"/>
      <c r="BH69" s="285"/>
      <c r="BI69" s="285"/>
      <c r="BJ69" s="285"/>
      <c r="BK69" s="285"/>
      <c r="BL69" s="285"/>
      <c r="BM69" s="285"/>
      <c r="BN69" s="285"/>
      <c r="BO69" s="285"/>
      <c r="BP69" s="285"/>
      <c r="BQ69" s="285"/>
      <c r="BR69" s="285"/>
      <c r="BS69" s="285"/>
      <c r="BT69" s="285"/>
      <c r="BU69" s="285"/>
      <c r="BV69" s="285"/>
    </row>
    <row r="70" spans="2:74" ht="15" customHeight="1" x14ac:dyDescent="0.2">
      <c r="B70" s="397" t="s">
        <v>7</v>
      </c>
      <c r="C70" s="395" t="s">
        <v>20</v>
      </c>
      <c r="D70" s="395" t="s">
        <v>20</v>
      </c>
      <c r="E70" s="395" t="s">
        <v>8</v>
      </c>
      <c r="F70" s="395" t="s">
        <v>11</v>
      </c>
      <c r="G70" s="395" t="s">
        <v>14</v>
      </c>
      <c r="H70" s="395" t="s">
        <v>20</v>
      </c>
      <c r="I70" s="395"/>
      <c r="J70" s="405"/>
      <c r="K70" s="397"/>
      <c r="L70" s="404" t="s">
        <v>68</v>
      </c>
      <c r="M70" s="133"/>
      <c r="N70" s="133"/>
      <c r="O70" s="156"/>
      <c r="P70" s="156"/>
      <c r="Q70" s="434">
        <v>60300000</v>
      </c>
      <c r="R70" s="5">
        <f>SUM(R71:R71)</f>
        <v>48404000</v>
      </c>
      <c r="S70" s="181"/>
      <c r="T70" s="396"/>
      <c r="U70" s="245"/>
      <c r="V70" s="497">
        <f>SUM(V71:V71)</f>
        <v>0</v>
      </c>
      <c r="W70" s="497">
        <f>SUM(W71:W71)</f>
        <v>0</v>
      </c>
      <c r="X70" s="498">
        <f>SUM(X71:X71)</f>
        <v>0</v>
      </c>
      <c r="Y70" s="498">
        <f>SUM(Y71:Y71)</f>
        <v>0</v>
      </c>
      <c r="Z70" s="498">
        <f>SUM(Z71:Z71)</f>
        <v>0</v>
      </c>
      <c r="AA70" s="498">
        <f t="shared" ref="AA70:AG70" si="48">SUM(AA71:AA71)</f>
        <v>0</v>
      </c>
      <c r="AB70" s="498">
        <f t="shared" si="48"/>
        <v>48404000</v>
      </c>
      <c r="AC70" s="498">
        <f t="shared" si="48"/>
        <v>0</v>
      </c>
      <c r="AD70" s="498">
        <f t="shared" si="48"/>
        <v>0</v>
      </c>
      <c r="AE70" s="498">
        <f t="shared" si="48"/>
        <v>0</v>
      </c>
      <c r="AF70" s="498">
        <f t="shared" si="48"/>
        <v>0</v>
      </c>
      <c r="AG70" s="498">
        <f t="shared" si="48"/>
        <v>0</v>
      </c>
      <c r="AH70" s="501">
        <f t="shared" si="2"/>
        <v>48404000</v>
      </c>
      <c r="AI70" s="535"/>
      <c r="AJ70" s="535"/>
      <c r="AK70" s="536"/>
      <c r="AL70" s="536"/>
      <c r="AM70" s="536"/>
      <c r="AR70" s="285"/>
      <c r="AS70" s="285"/>
      <c r="AT70" s="285"/>
      <c r="AU70" s="285"/>
      <c r="AV70" s="285"/>
      <c r="AW70" s="285"/>
      <c r="AX70" s="285"/>
      <c r="AY70" s="285"/>
      <c r="AZ70" s="285"/>
      <c r="BA70" s="285"/>
      <c r="BB70" s="285"/>
      <c r="BC70" s="285"/>
      <c r="BD70" s="285"/>
      <c r="BE70" s="285"/>
      <c r="BF70" s="285"/>
      <c r="BG70" s="285"/>
      <c r="BH70" s="285"/>
      <c r="BI70" s="285"/>
      <c r="BJ70" s="285"/>
      <c r="BK70" s="285"/>
      <c r="BL70" s="285"/>
      <c r="BM70" s="285"/>
      <c r="BN70" s="285"/>
      <c r="BO70" s="285"/>
      <c r="BP70" s="285"/>
      <c r="BQ70" s="285"/>
      <c r="BR70" s="285"/>
      <c r="BS70" s="285"/>
      <c r="BT70" s="285"/>
      <c r="BU70" s="285"/>
      <c r="BV70" s="285"/>
    </row>
    <row r="71" spans="2:74" ht="120" customHeight="1" x14ac:dyDescent="0.2">
      <c r="B71" s="677"/>
      <c r="C71" s="678"/>
      <c r="D71" s="678"/>
      <c r="E71" s="678"/>
      <c r="F71" s="678"/>
      <c r="G71" s="678"/>
      <c r="H71" s="678"/>
      <c r="I71" s="678"/>
      <c r="J71" s="678"/>
      <c r="K71" s="177" t="s">
        <v>488</v>
      </c>
      <c r="L71" s="400" t="s">
        <v>279</v>
      </c>
      <c r="M71" s="134">
        <v>44319</v>
      </c>
      <c r="N71" s="134" t="s">
        <v>575</v>
      </c>
      <c r="O71" s="157" t="s">
        <v>491</v>
      </c>
      <c r="P71" s="157" t="s">
        <v>483</v>
      </c>
      <c r="Q71" s="434"/>
      <c r="R71" s="101">
        <v>48404000</v>
      </c>
      <c r="S71" s="453" t="s">
        <v>386</v>
      </c>
      <c r="T71" s="399"/>
      <c r="U71" s="253" t="s">
        <v>466</v>
      </c>
      <c r="V71" s="497"/>
      <c r="W71" s="497"/>
      <c r="X71" s="498"/>
      <c r="Y71" s="498"/>
      <c r="Z71" s="498"/>
      <c r="AA71" s="498"/>
      <c r="AB71" s="498">
        <v>48404000</v>
      </c>
      <c r="AC71" s="498"/>
      <c r="AD71" s="498"/>
      <c r="AE71" s="498"/>
      <c r="AF71" s="498"/>
      <c r="AG71" s="498"/>
      <c r="AH71" s="501">
        <f t="shared" si="2"/>
        <v>48404000</v>
      </c>
      <c r="AI71" s="535">
        <v>63121</v>
      </c>
      <c r="AJ71" s="538">
        <v>44425</v>
      </c>
      <c r="AK71" s="536">
        <v>48404000</v>
      </c>
      <c r="AL71" s="536">
        <v>46895044</v>
      </c>
      <c r="AM71" s="536">
        <v>46895044</v>
      </c>
      <c r="AN71" s="532">
        <f>+R71-AL71</f>
        <v>1508956</v>
      </c>
      <c r="AO71" s="532">
        <f>+AL71-AM71</f>
        <v>0</v>
      </c>
      <c r="AP71" s="633">
        <f>R71-AL71+AO71</f>
        <v>1508956</v>
      </c>
      <c r="AR71" s="285"/>
      <c r="AS71" s="285"/>
      <c r="AT71" s="285"/>
      <c r="AU71" s="285"/>
      <c r="AV71" s="285"/>
      <c r="AW71" s="285"/>
      <c r="AX71" s="285"/>
      <c r="AY71" s="285"/>
      <c r="AZ71" s="285"/>
      <c r="BA71" s="285"/>
      <c r="BB71" s="285"/>
      <c r="BC71" s="285"/>
      <c r="BD71" s="285"/>
      <c r="BE71" s="285"/>
      <c r="BF71" s="285"/>
      <c r="BG71" s="285"/>
      <c r="BH71" s="285"/>
      <c r="BI71" s="285"/>
      <c r="BJ71" s="285"/>
      <c r="BK71" s="285"/>
      <c r="BL71" s="285"/>
      <c r="BM71" s="285"/>
      <c r="BN71" s="285"/>
      <c r="BO71" s="285"/>
      <c r="BP71" s="285"/>
      <c r="BQ71" s="285"/>
      <c r="BR71" s="285"/>
      <c r="BS71" s="285"/>
      <c r="BT71" s="285"/>
      <c r="BU71" s="285"/>
      <c r="BV71" s="285"/>
    </row>
    <row r="72" spans="2:74" ht="15" customHeight="1" x14ac:dyDescent="0.2">
      <c r="B72" s="397" t="s">
        <v>7</v>
      </c>
      <c r="C72" s="395" t="s">
        <v>20</v>
      </c>
      <c r="D72" s="395" t="s">
        <v>20</v>
      </c>
      <c r="E72" s="395" t="s">
        <v>8</v>
      </c>
      <c r="F72" s="395" t="s">
        <v>11</v>
      </c>
      <c r="G72" s="395" t="s">
        <v>14</v>
      </c>
      <c r="H72" s="395" t="s">
        <v>31</v>
      </c>
      <c r="I72" s="395"/>
      <c r="J72" s="405"/>
      <c r="K72" s="12"/>
      <c r="L72" s="413" t="s">
        <v>465</v>
      </c>
      <c r="M72" s="136"/>
      <c r="N72" s="136"/>
      <c r="O72" s="159"/>
      <c r="P72" s="159"/>
      <c r="Q72" s="434">
        <v>61300000</v>
      </c>
      <c r="R72" s="8">
        <f>SUM(R73:R74)</f>
        <v>39322300</v>
      </c>
      <c r="S72" s="7"/>
      <c r="T72" s="108"/>
      <c r="U72" s="255"/>
      <c r="V72" s="497">
        <f>SUM(V73:V74)</f>
        <v>0</v>
      </c>
      <c r="W72" s="497">
        <f t="shared" ref="W72:AF72" si="49">SUM(W73:W74)</f>
        <v>0</v>
      </c>
      <c r="X72" s="498">
        <f t="shared" si="49"/>
        <v>0</v>
      </c>
      <c r="Y72" s="498">
        <f t="shared" si="49"/>
        <v>0</v>
      </c>
      <c r="Z72" s="498">
        <f t="shared" si="49"/>
        <v>0</v>
      </c>
      <c r="AA72" s="498">
        <f t="shared" si="49"/>
        <v>1440800</v>
      </c>
      <c r="AB72" s="498">
        <f t="shared" si="49"/>
        <v>0</v>
      </c>
      <c r="AC72" s="498">
        <f t="shared" si="49"/>
        <v>35000000</v>
      </c>
      <c r="AD72" s="498">
        <f t="shared" si="49"/>
        <v>1440800</v>
      </c>
      <c r="AE72" s="498">
        <f t="shared" si="49"/>
        <v>0</v>
      </c>
      <c r="AF72" s="498">
        <f t="shared" si="49"/>
        <v>0</v>
      </c>
      <c r="AG72" s="498">
        <f t="shared" ref="AG72" si="50">SUM(AG73:AG74)</f>
        <v>1440700</v>
      </c>
      <c r="AH72" s="501">
        <f t="shared" ref="AH72:AH126" si="51">SUM(V72:AG72)</f>
        <v>39322300</v>
      </c>
      <c r="AI72" s="535"/>
      <c r="AJ72" s="535"/>
      <c r="AK72" s="536"/>
      <c r="AL72" s="536"/>
      <c r="AM72" s="536"/>
      <c r="AR72" s="285"/>
      <c r="AS72" s="285"/>
      <c r="AT72" s="285"/>
      <c r="AU72" s="285"/>
      <c r="AV72" s="285"/>
      <c r="AW72" s="285"/>
      <c r="AX72" s="285"/>
      <c r="AY72" s="285"/>
      <c r="AZ72" s="285"/>
      <c r="BA72" s="285"/>
      <c r="BB72" s="285"/>
      <c r="BC72" s="285"/>
      <c r="BD72" s="285"/>
      <c r="BE72" s="285"/>
      <c r="BF72" s="285"/>
      <c r="BG72" s="285"/>
      <c r="BH72" s="285"/>
      <c r="BI72" s="285"/>
      <c r="BJ72" s="285"/>
      <c r="BK72" s="285"/>
      <c r="BL72" s="285"/>
      <c r="BM72" s="285"/>
      <c r="BN72" s="285"/>
      <c r="BO72" s="285"/>
      <c r="BP72" s="285"/>
      <c r="BQ72" s="285"/>
      <c r="BR72" s="285"/>
      <c r="BS72" s="285"/>
      <c r="BT72" s="285"/>
      <c r="BU72" s="285"/>
      <c r="BV72" s="285"/>
    </row>
    <row r="73" spans="2:74" ht="60" x14ac:dyDescent="0.2">
      <c r="B73" s="117"/>
      <c r="C73" s="118"/>
      <c r="D73" s="118"/>
      <c r="E73" s="118"/>
      <c r="F73" s="118"/>
      <c r="G73" s="118"/>
      <c r="H73" s="118"/>
      <c r="I73" s="118"/>
      <c r="J73" s="118"/>
      <c r="K73" s="177" t="s">
        <v>377</v>
      </c>
      <c r="L73" s="400" t="s">
        <v>566</v>
      </c>
      <c r="M73" s="134">
        <v>44260</v>
      </c>
      <c r="N73" s="134" t="s">
        <v>574</v>
      </c>
      <c r="O73" s="157" t="s">
        <v>299</v>
      </c>
      <c r="P73" s="157" t="s">
        <v>360</v>
      </c>
      <c r="Q73" s="434"/>
      <c r="R73" s="564">
        <v>4322300</v>
      </c>
      <c r="S73" s="402" t="s">
        <v>386</v>
      </c>
      <c r="T73" s="399"/>
      <c r="U73" s="253" t="s">
        <v>194</v>
      </c>
      <c r="V73" s="497"/>
      <c r="W73" s="497"/>
      <c r="X73" s="498"/>
      <c r="Y73" s="498"/>
      <c r="Z73" s="498"/>
      <c r="AA73" s="498">
        <v>1440800</v>
      </c>
      <c r="AB73" s="498"/>
      <c r="AC73" s="498"/>
      <c r="AD73" s="498">
        <v>1440800</v>
      </c>
      <c r="AE73" s="498"/>
      <c r="AF73" s="498"/>
      <c r="AG73" s="498">
        <v>1440700</v>
      </c>
      <c r="AH73" s="501">
        <f t="shared" si="51"/>
        <v>4322300</v>
      </c>
      <c r="AI73" s="535">
        <v>41221</v>
      </c>
      <c r="AJ73" s="538">
        <v>44326</v>
      </c>
      <c r="AK73" s="536">
        <v>4322300</v>
      </c>
      <c r="AL73" s="536">
        <v>4252669.76</v>
      </c>
      <c r="AM73" s="536">
        <v>4252669.76</v>
      </c>
      <c r="AN73" s="532">
        <f>+R73-AL73</f>
        <v>69630.240000000224</v>
      </c>
      <c r="AO73" s="532">
        <f>+AL73-AM73</f>
        <v>0</v>
      </c>
      <c r="AP73" s="633">
        <f>R73-AL73+AO73</f>
        <v>69630.240000000224</v>
      </c>
      <c r="AQ73" s="440"/>
      <c r="AR73" s="285"/>
      <c r="AS73" s="285"/>
      <c r="AT73" s="285"/>
      <c r="AU73" s="285"/>
      <c r="AV73" s="285"/>
      <c r="AW73" s="285"/>
      <c r="AX73" s="285"/>
      <c r="AY73" s="285"/>
      <c r="AZ73" s="285"/>
      <c r="BA73" s="285"/>
      <c r="BB73" s="285"/>
      <c r="BC73" s="285"/>
      <c r="BD73" s="285"/>
      <c r="BE73" s="285"/>
      <c r="BF73" s="285"/>
      <c r="BG73" s="285"/>
      <c r="BH73" s="285"/>
      <c r="BI73" s="285"/>
      <c r="BJ73" s="285"/>
      <c r="BK73" s="285"/>
      <c r="BL73" s="285"/>
      <c r="BM73" s="285"/>
      <c r="BN73" s="285"/>
      <c r="BO73" s="285"/>
      <c r="BP73" s="285"/>
      <c r="BQ73" s="285"/>
      <c r="BR73" s="285"/>
      <c r="BS73" s="285"/>
      <c r="BT73" s="285"/>
      <c r="BU73" s="285"/>
      <c r="BV73" s="285"/>
    </row>
    <row r="74" spans="2:74" s="394" customFormat="1" ht="180" customHeight="1" x14ac:dyDescent="0.2">
      <c r="B74" s="428"/>
      <c r="C74" s="429"/>
      <c r="D74" s="429"/>
      <c r="E74" s="429"/>
      <c r="F74" s="429"/>
      <c r="G74" s="429"/>
      <c r="H74" s="429"/>
      <c r="I74" s="429"/>
      <c r="J74" s="429"/>
      <c r="K74" s="450" t="s">
        <v>614</v>
      </c>
      <c r="L74" s="451" t="s">
        <v>564</v>
      </c>
      <c r="M74" s="134">
        <v>44291</v>
      </c>
      <c r="N74" s="134" t="s">
        <v>573</v>
      </c>
      <c r="O74" s="157" t="s">
        <v>487</v>
      </c>
      <c r="P74" s="157" t="s">
        <v>494</v>
      </c>
      <c r="Q74" s="434"/>
      <c r="R74" s="101">
        <f>30000000+5000000</f>
        <v>35000000</v>
      </c>
      <c r="S74" s="453" t="s">
        <v>386</v>
      </c>
      <c r="T74" s="449"/>
      <c r="U74" s="461" t="s">
        <v>466</v>
      </c>
      <c r="V74" s="497"/>
      <c r="W74" s="497"/>
      <c r="X74" s="498"/>
      <c r="Y74" s="498"/>
      <c r="Z74" s="498"/>
      <c r="AA74" s="498"/>
      <c r="AB74" s="498"/>
      <c r="AC74" s="498">
        <v>35000000</v>
      </c>
      <c r="AD74" s="498"/>
      <c r="AE74" s="498"/>
      <c r="AF74" s="498"/>
      <c r="AG74" s="498"/>
      <c r="AH74" s="501">
        <f t="shared" si="51"/>
        <v>35000000</v>
      </c>
      <c r="AI74" s="535">
        <v>40121</v>
      </c>
      <c r="AJ74" s="538">
        <v>44322</v>
      </c>
      <c r="AK74" s="536">
        <v>35000000</v>
      </c>
      <c r="AL74" s="536">
        <v>34974996</v>
      </c>
      <c r="AM74" s="536">
        <v>34974996</v>
      </c>
      <c r="AN74" s="532">
        <f>+R74-AL74</f>
        <v>25004</v>
      </c>
      <c r="AO74" s="532">
        <f>+AL74-AM74</f>
        <v>0</v>
      </c>
      <c r="AP74" s="533">
        <f>R74-AL74+AO74</f>
        <v>25004</v>
      </c>
      <c r="AQ74" s="440"/>
      <c r="AR74" s="285"/>
      <c r="AS74" s="285"/>
      <c r="AT74" s="285"/>
      <c r="AU74" s="285"/>
      <c r="AV74" s="285"/>
      <c r="AW74" s="285"/>
      <c r="AX74" s="285"/>
      <c r="AY74" s="285"/>
      <c r="AZ74" s="285"/>
      <c r="BA74" s="285"/>
      <c r="BB74" s="285"/>
      <c r="BC74" s="285"/>
      <c r="BD74" s="285"/>
      <c r="BE74" s="285"/>
      <c r="BF74" s="285"/>
      <c r="BG74" s="285"/>
      <c r="BH74" s="285"/>
      <c r="BI74" s="285"/>
      <c r="BJ74" s="285"/>
      <c r="BK74" s="285"/>
      <c r="BL74" s="285"/>
      <c r="BM74" s="285"/>
      <c r="BN74" s="285"/>
      <c r="BO74" s="285"/>
      <c r="BP74" s="285"/>
      <c r="BQ74" s="285"/>
      <c r="BR74" s="285"/>
      <c r="BS74" s="285"/>
      <c r="BT74" s="285"/>
      <c r="BU74" s="285"/>
      <c r="BV74" s="285"/>
    </row>
    <row r="75" spans="2:74" ht="15" customHeight="1" x14ac:dyDescent="0.2">
      <c r="B75" s="91" t="s">
        <v>7</v>
      </c>
      <c r="C75" s="92" t="s">
        <v>20</v>
      </c>
      <c r="D75" s="92" t="s">
        <v>20</v>
      </c>
      <c r="E75" s="92" t="s">
        <v>8</v>
      </c>
      <c r="F75" s="92" t="s">
        <v>11</v>
      </c>
      <c r="G75" s="92" t="s">
        <v>16</v>
      </c>
      <c r="H75" s="92"/>
      <c r="I75" s="92"/>
      <c r="J75" s="196"/>
      <c r="K75" s="91"/>
      <c r="L75" s="412" t="s">
        <v>188</v>
      </c>
      <c r="M75" s="132"/>
      <c r="N75" s="132"/>
      <c r="O75" s="155"/>
      <c r="P75" s="155"/>
      <c r="Q75" s="434">
        <f>+Q76</f>
        <v>29800000</v>
      </c>
      <c r="R75" s="94">
        <f>+R76</f>
        <v>29800000</v>
      </c>
      <c r="S75" s="92"/>
      <c r="T75" s="95"/>
      <c r="U75" s="244"/>
      <c r="V75" s="497">
        <f>+V76</f>
        <v>0</v>
      </c>
      <c r="W75" s="497">
        <f>+W76</f>
        <v>2700000</v>
      </c>
      <c r="X75" s="498">
        <f>+X76</f>
        <v>2700000</v>
      </c>
      <c r="Y75" s="498">
        <f>+Y76</f>
        <v>2700000</v>
      </c>
      <c r="Z75" s="498">
        <f>+Z76</f>
        <v>2700000</v>
      </c>
      <c r="AA75" s="498">
        <f t="shared" ref="AA75:AG75" si="52">+AA76</f>
        <v>2700000</v>
      </c>
      <c r="AB75" s="498">
        <f t="shared" si="52"/>
        <v>2700000</v>
      </c>
      <c r="AC75" s="498">
        <f t="shared" si="52"/>
        <v>2700000</v>
      </c>
      <c r="AD75" s="498">
        <f t="shared" si="52"/>
        <v>2700000</v>
      </c>
      <c r="AE75" s="498">
        <f t="shared" si="52"/>
        <v>2700000</v>
      </c>
      <c r="AF75" s="498">
        <f t="shared" si="52"/>
        <v>2700000</v>
      </c>
      <c r="AG75" s="498">
        <f t="shared" si="52"/>
        <v>2800000</v>
      </c>
      <c r="AH75" s="501">
        <f t="shared" si="51"/>
        <v>29800000</v>
      </c>
      <c r="AI75" s="535"/>
      <c r="AJ75" s="535"/>
      <c r="AK75" s="536"/>
      <c r="AL75" s="536"/>
      <c r="AM75" s="536"/>
      <c r="AQ75" s="440"/>
      <c r="AR75" s="285"/>
      <c r="AS75" s="285"/>
      <c r="AT75" s="285"/>
      <c r="AU75" s="285"/>
      <c r="AV75" s="285"/>
      <c r="AW75" s="285"/>
      <c r="AX75" s="285"/>
      <c r="AY75" s="285"/>
      <c r="AZ75" s="285"/>
      <c r="BA75" s="285"/>
      <c r="BB75" s="285"/>
      <c r="BC75" s="285"/>
      <c r="BD75" s="285"/>
      <c r="BE75" s="285"/>
      <c r="BF75" s="285"/>
      <c r="BG75" s="285"/>
      <c r="BH75" s="285"/>
      <c r="BI75" s="285"/>
      <c r="BJ75" s="285"/>
      <c r="BK75" s="285"/>
      <c r="BL75" s="285"/>
      <c r="BM75" s="285"/>
      <c r="BN75" s="285"/>
      <c r="BO75" s="285"/>
      <c r="BP75" s="285"/>
      <c r="BQ75" s="285"/>
      <c r="BR75" s="285"/>
      <c r="BS75" s="285"/>
      <c r="BT75" s="285"/>
      <c r="BU75" s="285"/>
      <c r="BV75" s="285"/>
    </row>
    <row r="76" spans="2:74" ht="15.6" customHeight="1" x14ac:dyDescent="0.2">
      <c r="B76" s="12" t="s">
        <v>7</v>
      </c>
      <c r="C76" s="7" t="s">
        <v>20</v>
      </c>
      <c r="D76" s="7" t="s">
        <v>20</v>
      </c>
      <c r="E76" s="7" t="s">
        <v>8</v>
      </c>
      <c r="F76" s="7" t="s">
        <v>11</v>
      </c>
      <c r="G76" s="395" t="s">
        <v>16</v>
      </c>
      <c r="H76" s="395" t="s">
        <v>31</v>
      </c>
      <c r="I76" s="7"/>
      <c r="J76" s="198"/>
      <c r="K76" s="12"/>
      <c r="L76" s="413" t="s">
        <v>189</v>
      </c>
      <c r="M76" s="136"/>
      <c r="N76" s="136"/>
      <c r="O76" s="159"/>
      <c r="P76" s="159"/>
      <c r="Q76" s="434">
        <v>29800000</v>
      </c>
      <c r="R76" s="8">
        <f>SUM(R77:R77)</f>
        <v>29800000</v>
      </c>
      <c r="S76" s="7"/>
      <c r="T76" s="108"/>
      <c r="U76" s="255"/>
      <c r="V76" s="497">
        <f>SUM(V77:V77)</f>
        <v>0</v>
      </c>
      <c r="W76" s="497">
        <f>SUM(W77:W77)</f>
        <v>2700000</v>
      </c>
      <c r="X76" s="498">
        <f>SUM(X77:X77)</f>
        <v>2700000</v>
      </c>
      <c r="Y76" s="498">
        <f>SUM(Y77:Y77)</f>
        <v>2700000</v>
      </c>
      <c r="Z76" s="498">
        <f>SUM(Z77:Z77)</f>
        <v>2700000</v>
      </c>
      <c r="AA76" s="498">
        <f t="shared" ref="AA76:AG76" si="53">SUM(AA77:AA77)</f>
        <v>2700000</v>
      </c>
      <c r="AB76" s="498">
        <f t="shared" si="53"/>
        <v>2700000</v>
      </c>
      <c r="AC76" s="498">
        <f t="shared" si="53"/>
        <v>2700000</v>
      </c>
      <c r="AD76" s="498">
        <f t="shared" si="53"/>
        <v>2700000</v>
      </c>
      <c r="AE76" s="498">
        <f t="shared" si="53"/>
        <v>2700000</v>
      </c>
      <c r="AF76" s="498">
        <f t="shared" si="53"/>
        <v>2700000</v>
      </c>
      <c r="AG76" s="498">
        <f t="shared" si="53"/>
        <v>2800000</v>
      </c>
      <c r="AH76" s="501">
        <f t="shared" si="51"/>
        <v>29800000</v>
      </c>
      <c r="AI76" s="535"/>
      <c r="AJ76" s="535"/>
      <c r="AK76" s="536"/>
      <c r="AL76" s="536"/>
      <c r="AM76" s="536"/>
      <c r="AQ76" s="440"/>
      <c r="AR76" s="285"/>
      <c r="AS76" s="285"/>
      <c r="AT76" s="285"/>
      <c r="AU76" s="285"/>
      <c r="AV76" s="285"/>
      <c r="AW76" s="285"/>
      <c r="AX76" s="285"/>
      <c r="AY76" s="285"/>
      <c r="AZ76" s="285"/>
      <c r="BA76" s="285"/>
      <c r="BB76" s="285"/>
      <c r="BC76" s="285"/>
      <c r="BD76" s="285"/>
      <c r="BE76" s="285"/>
      <c r="BF76" s="285"/>
      <c r="BG76" s="285"/>
      <c r="BH76" s="285"/>
      <c r="BI76" s="285"/>
      <c r="BJ76" s="285"/>
      <c r="BK76" s="285"/>
      <c r="BL76" s="285"/>
      <c r="BM76" s="285"/>
      <c r="BN76" s="285"/>
      <c r="BO76" s="285"/>
      <c r="BP76" s="285"/>
      <c r="BQ76" s="285"/>
      <c r="BR76" s="285"/>
      <c r="BS76" s="285"/>
      <c r="BT76" s="285"/>
      <c r="BU76" s="285"/>
      <c r="BV76" s="285"/>
    </row>
    <row r="77" spans="2:74" s="107" customFormat="1" ht="15" customHeight="1" x14ac:dyDescent="0.2">
      <c r="B77" s="682"/>
      <c r="C77" s="683"/>
      <c r="D77" s="683"/>
      <c r="E77" s="683"/>
      <c r="F77" s="683"/>
      <c r="G77" s="683"/>
      <c r="H77" s="683"/>
      <c r="I77" s="683"/>
      <c r="J77" s="683"/>
      <c r="K77" s="113"/>
      <c r="L77" s="406" t="s">
        <v>275</v>
      </c>
      <c r="M77" s="137"/>
      <c r="N77" s="137"/>
      <c r="O77" s="160"/>
      <c r="P77" s="160"/>
      <c r="Q77" s="434"/>
      <c r="R77" s="115">
        <v>29800000</v>
      </c>
      <c r="S77" s="187"/>
      <c r="T77" s="382"/>
      <c r="U77" s="256" t="s">
        <v>355</v>
      </c>
      <c r="V77" s="497"/>
      <c r="W77" s="497">
        <v>2700000</v>
      </c>
      <c r="X77" s="497">
        <v>2700000</v>
      </c>
      <c r="Y77" s="497">
        <v>2700000</v>
      </c>
      <c r="Z77" s="497">
        <v>2700000</v>
      </c>
      <c r="AA77" s="497">
        <v>2700000</v>
      </c>
      <c r="AB77" s="497">
        <v>2700000</v>
      </c>
      <c r="AC77" s="497">
        <v>2700000</v>
      </c>
      <c r="AD77" s="497">
        <v>2700000</v>
      </c>
      <c r="AE77" s="497">
        <v>2700000</v>
      </c>
      <c r="AF77" s="497">
        <v>2700000</v>
      </c>
      <c r="AG77" s="497">
        <v>2800000</v>
      </c>
      <c r="AH77" s="501">
        <f t="shared" si="51"/>
        <v>29800000</v>
      </c>
      <c r="AI77" s="535">
        <v>11321</v>
      </c>
      <c r="AJ77" s="538">
        <v>44230</v>
      </c>
      <c r="AK77" s="536">
        <v>11870567.23</v>
      </c>
      <c r="AL77" s="536">
        <v>11870567.23</v>
      </c>
      <c r="AM77" s="536">
        <v>5670567.2300000004</v>
      </c>
      <c r="AN77" s="532">
        <f>+R77-AL77</f>
        <v>17929432.77</v>
      </c>
      <c r="AO77" s="547">
        <f>+AL77-AM77</f>
        <v>6200000</v>
      </c>
      <c r="AP77" s="533">
        <f>R77-AL77+AO77</f>
        <v>24129432.77</v>
      </c>
      <c r="AQ77" s="440"/>
      <c r="AR77" s="652"/>
      <c r="AS77" s="652"/>
      <c r="AT77" s="652"/>
      <c r="AU77" s="652"/>
      <c r="AV77" s="652"/>
      <c r="AW77" s="652"/>
      <c r="AX77" s="652"/>
      <c r="AY77" s="652"/>
      <c r="AZ77" s="652"/>
      <c r="BA77" s="652"/>
      <c r="BB77" s="652"/>
      <c r="BC77" s="652"/>
      <c r="BD77" s="652"/>
      <c r="BE77" s="652"/>
      <c r="BF77" s="652"/>
      <c r="BG77" s="652"/>
      <c r="BH77" s="652"/>
      <c r="BI77" s="652"/>
      <c r="BJ77" s="652"/>
      <c r="BK77" s="652"/>
      <c r="BL77" s="652"/>
      <c r="BM77" s="652"/>
      <c r="BN77" s="652"/>
      <c r="BO77" s="652"/>
      <c r="BP77" s="652"/>
      <c r="BQ77" s="652"/>
      <c r="BR77" s="652"/>
      <c r="BS77" s="652"/>
      <c r="BT77" s="652"/>
      <c r="BU77" s="652"/>
      <c r="BV77" s="652"/>
    </row>
    <row r="78" spans="2:74" ht="15" customHeight="1" x14ac:dyDescent="0.2">
      <c r="B78" s="13" t="s">
        <v>7</v>
      </c>
      <c r="C78" s="14" t="s">
        <v>20</v>
      </c>
      <c r="D78" s="14" t="s">
        <v>20</v>
      </c>
      <c r="E78" s="14" t="s">
        <v>8</v>
      </c>
      <c r="F78" s="14" t="s">
        <v>12</v>
      </c>
      <c r="G78" s="14"/>
      <c r="H78" s="14"/>
      <c r="I78" s="14"/>
      <c r="J78" s="195"/>
      <c r="K78" s="13"/>
      <c r="L78" s="411" t="s">
        <v>73</v>
      </c>
      <c r="M78" s="131"/>
      <c r="N78" s="131"/>
      <c r="O78" s="154"/>
      <c r="P78" s="154"/>
      <c r="Q78" s="434">
        <f>+Q79+Q84+Q87+Q92</f>
        <v>206500000</v>
      </c>
      <c r="R78" s="16">
        <f>+R79+R84+R87+R92</f>
        <v>186870000</v>
      </c>
      <c r="S78" s="14"/>
      <c r="T78" s="17"/>
      <c r="U78" s="252"/>
      <c r="V78" s="497">
        <f>+V79+V84+V87+V92</f>
        <v>0</v>
      </c>
      <c r="W78" s="497">
        <f t="shared" ref="W78:AG78" si="54">+W79+W84+W87+W92</f>
        <v>0</v>
      </c>
      <c r="X78" s="499">
        <f t="shared" si="54"/>
        <v>0</v>
      </c>
      <c r="Y78" s="499">
        <f t="shared" si="54"/>
        <v>25000000</v>
      </c>
      <c r="Z78" s="499">
        <f t="shared" si="54"/>
        <v>0</v>
      </c>
      <c r="AA78" s="499">
        <f t="shared" si="54"/>
        <v>0</v>
      </c>
      <c r="AB78" s="499">
        <f t="shared" si="54"/>
        <v>103750000</v>
      </c>
      <c r="AC78" s="499">
        <f t="shared" si="54"/>
        <v>24170000</v>
      </c>
      <c r="AD78" s="499">
        <f t="shared" si="54"/>
        <v>0</v>
      </c>
      <c r="AE78" s="499">
        <f t="shared" si="54"/>
        <v>0</v>
      </c>
      <c r="AF78" s="499">
        <f t="shared" si="54"/>
        <v>29700000</v>
      </c>
      <c r="AG78" s="499">
        <f t="shared" si="54"/>
        <v>4250000</v>
      </c>
      <c r="AH78" s="501">
        <f t="shared" si="51"/>
        <v>186870000</v>
      </c>
      <c r="AI78" s="535"/>
      <c r="AJ78" s="535"/>
      <c r="AK78" s="536"/>
      <c r="AL78" s="536"/>
      <c r="AM78" s="536"/>
      <c r="AQ78" s="440"/>
      <c r="AR78" s="285"/>
      <c r="AS78" s="285"/>
      <c r="AT78" s="285"/>
      <c r="AU78" s="285"/>
      <c r="AV78" s="285"/>
      <c r="AW78" s="285"/>
      <c r="AX78" s="285"/>
      <c r="AY78" s="285"/>
      <c r="AZ78" s="285"/>
      <c r="BA78" s="285"/>
      <c r="BB78" s="285"/>
      <c r="BC78" s="285"/>
      <c r="BD78" s="285"/>
      <c r="BE78" s="285"/>
      <c r="BF78" s="285"/>
      <c r="BG78" s="285"/>
      <c r="BH78" s="285"/>
      <c r="BI78" s="285"/>
      <c r="BJ78" s="285"/>
      <c r="BK78" s="285"/>
      <c r="BL78" s="285"/>
      <c r="BM78" s="285"/>
      <c r="BN78" s="285"/>
      <c r="BO78" s="285"/>
      <c r="BP78" s="285"/>
      <c r="BQ78" s="285"/>
      <c r="BR78" s="285"/>
      <c r="BS78" s="285"/>
      <c r="BT78" s="285"/>
      <c r="BU78" s="285"/>
      <c r="BV78" s="285"/>
    </row>
    <row r="79" spans="2:74" ht="15" customHeight="1" x14ac:dyDescent="0.2">
      <c r="B79" s="91" t="s">
        <v>7</v>
      </c>
      <c r="C79" s="92" t="s">
        <v>20</v>
      </c>
      <c r="D79" s="92" t="s">
        <v>20</v>
      </c>
      <c r="E79" s="92" t="s">
        <v>8</v>
      </c>
      <c r="F79" s="92" t="s">
        <v>12</v>
      </c>
      <c r="G79" s="92" t="s">
        <v>12</v>
      </c>
      <c r="H79" s="92"/>
      <c r="I79" s="92"/>
      <c r="J79" s="196"/>
      <c r="K79" s="91"/>
      <c r="L79" s="412" t="s">
        <v>39</v>
      </c>
      <c r="M79" s="132"/>
      <c r="N79" s="132"/>
      <c r="O79" s="155"/>
      <c r="P79" s="155"/>
      <c r="Q79" s="434">
        <f>+Q80</f>
        <v>50000000</v>
      </c>
      <c r="R79" s="94">
        <f>+R80</f>
        <v>24870000</v>
      </c>
      <c r="S79" s="92"/>
      <c r="T79" s="95"/>
      <c r="U79" s="244"/>
      <c r="V79" s="497">
        <f>+V80</f>
        <v>0</v>
      </c>
      <c r="W79" s="497">
        <f>+W80</f>
        <v>0</v>
      </c>
      <c r="X79" s="498">
        <f>+X80</f>
        <v>0</v>
      </c>
      <c r="Y79" s="498">
        <f>+Y80</f>
        <v>0</v>
      </c>
      <c r="Z79" s="498">
        <f>+Z80</f>
        <v>0</v>
      </c>
      <c r="AA79" s="498">
        <f t="shared" ref="AA79:AG79" si="55">+AA80</f>
        <v>0</v>
      </c>
      <c r="AB79" s="498">
        <f t="shared" si="55"/>
        <v>0</v>
      </c>
      <c r="AC79" s="498">
        <f t="shared" si="55"/>
        <v>20170000</v>
      </c>
      <c r="AD79" s="498">
        <f t="shared" si="55"/>
        <v>0</v>
      </c>
      <c r="AE79" s="498">
        <f t="shared" si="55"/>
        <v>0</v>
      </c>
      <c r="AF79" s="498">
        <f t="shared" si="55"/>
        <v>4700000</v>
      </c>
      <c r="AG79" s="498">
        <f t="shared" si="55"/>
        <v>0</v>
      </c>
      <c r="AH79" s="501">
        <f t="shared" si="51"/>
        <v>24870000</v>
      </c>
      <c r="AI79" s="535"/>
      <c r="AJ79" s="535"/>
      <c r="AK79" s="536"/>
      <c r="AL79" s="536"/>
      <c r="AM79" s="536"/>
      <c r="AQ79" s="440"/>
      <c r="AR79" s="285"/>
      <c r="AS79" s="285"/>
      <c r="AT79" s="285"/>
      <c r="AU79" s="285"/>
      <c r="AV79" s="285"/>
      <c r="AW79" s="285"/>
      <c r="AX79" s="285"/>
      <c r="AY79" s="285"/>
      <c r="AZ79" s="285"/>
      <c r="BA79" s="285"/>
      <c r="BB79" s="285"/>
      <c r="BC79" s="285"/>
      <c r="BD79" s="285"/>
      <c r="BE79" s="285"/>
      <c r="BF79" s="285"/>
      <c r="BG79" s="285"/>
      <c r="BH79" s="285"/>
      <c r="BI79" s="285"/>
      <c r="BJ79" s="285"/>
      <c r="BK79" s="285"/>
      <c r="BL79" s="285"/>
      <c r="BM79" s="285"/>
      <c r="BN79" s="285"/>
      <c r="BO79" s="285"/>
      <c r="BP79" s="285"/>
      <c r="BQ79" s="285"/>
      <c r="BR79" s="285"/>
      <c r="BS79" s="285"/>
      <c r="BT79" s="285"/>
      <c r="BU79" s="285"/>
      <c r="BV79" s="285"/>
    </row>
    <row r="80" spans="2:74" ht="15" customHeight="1" x14ac:dyDescent="0.2">
      <c r="B80" s="397" t="s">
        <v>7</v>
      </c>
      <c r="C80" s="395" t="s">
        <v>20</v>
      </c>
      <c r="D80" s="395" t="s">
        <v>20</v>
      </c>
      <c r="E80" s="395" t="s">
        <v>8</v>
      </c>
      <c r="F80" s="395" t="s">
        <v>12</v>
      </c>
      <c r="G80" s="395" t="s">
        <v>12</v>
      </c>
      <c r="H80" s="395" t="s">
        <v>31</v>
      </c>
      <c r="I80" s="395"/>
      <c r="J80" s="405"/>
      <c r="K80" s="397"/>
      <c r="L80" s="404" t="s">
        <v>41</v>
      </c>
      <c r="M80" s="133"/>
      <c r="N80" s="133"/>
      <c r="O80" s="156"/>
      <c r="P80" s="156"/>
      <c r="Q80" s="434">
        <v>50000000</v>
      </c>
      <c r="R80" s="5">
        <f>SUM(R81:R83)</f>
        <v>24870000</v>
      </c>
      <c r="S80" s="181"/>
      <c r="T80" s="396"/>
      <c r="U80" s="245"/>
      <c r="V80" s="497">
        <f t="shared" ref="V80:AG80" si="56">SUM(V81:V83)</f>
        <v>0</v>
      </c>
      <c r="W80" s="497">
        <f t="shared" si="56"/>
        <v>0</v>
      </c>
      <c r="X80" s="498">
        <f t="shared" si="56"/>
        <v>0</v>
      </c>
      <c r="Y80" s="498">
        <f t="shared" si="56"/>
        <v>0</v>
      </c>
      <c r="Z80" s="498">
        <f t="shared" si="56"/>
        <v>0</v>
      </c>
      <c r="AA80" s="498">
        <f t="shared" si="56"/>
        <v>0</v>
      </c>
      <c r="AB80" s="498">
        <f t="shared" si="56"/>
        <v>0</v>
      </c>
      <c r="AC80" s="498">
        <f t="shared" si="56"/>
        <v>20170000</v>
      </c>
      <c r="AD80" s="498">
        <f t="shared" si="56"/>
        <v>0</v>
      </c>
      <c r="AE80" s="498">
        <f t="shared" si="56"/>
        <v>0</v>
      </c>
      <c r="AF80" s="498">
        <f t="shared" si="56"/>
        <v>4700000</v>
      </c>
      <c r="AG80" s="498">
        <f t="shared" si="56"/>
        <v>0</v>
      </c>
      <c r="AH80" s="501">
        <f t="shared" si="51"/>
        <v>24870000</v>
      </c>
      <c r="AI80" s="535"/>
      <c r="AJ80" s="535"/>
      <c r="AK80" s="536"/>
      <c r="AL80" s="536"/>
      <c r="AM80" s="536"/>
      <c r="AQ80" s="440"/>
      <c r="AR80" s="285"/>
      <c r="AS80" s="285"/>
      <c r="AT80" s="285"/>
      <c r="AU80" s="285"/>
      <c r="AV80" s="285"/>
      <c r="AW80" s="285"/>
      <c r="AX80" s="285"/>
      <c r="AY80" s="285"/>
      <c r="AZ80" s="285"/>
      <c r="BA80" s="285"/>
      <c r="BB80" s="285"/>
      <c r="BC80" s="285"/>
      <c r="BD80" s="285"/>
      <c r="BE80" s="285"/>
      <c r="BF80" s="285"/>
      <c r="BG80" s="285"/>
      <c r="BH80" s="285"/>
      <c r="BI80" s="285"/>
      <c r="BJ80" s="285"/>
      <c r="BK80" s="285"/>
      <c r="BL80" s="285"/>
      <c r="BM80" s="285"/>
      <c r="BN80" s="285"/>
      <c r="BO80" s="285"/>
      <c r="BP80" s="285"/>
      <c r="BQ80" s="285"/>
      <c r="BR80" s="285"/>
      <c r="BS80" s="285"/>
      <c r="BT80" s="285"/>
      <c r="BU80" s="285"/>
      <c r="BV80" s="285"/>
    </row>
    <row r="81" spans="2:74" ht="42.75" customHeight="1" x14ac:dyDescent="0.2">
      <c r="B81" s="677"/>
      <c r="C81" s="678"/>
      <c r="D81" s="678"/>
      <c r="E81" s="678"/>
      <c r="F81" s="678"/>
      <c r="G81" s="678"/>
      <c r="H81" s="678"/>
      <c r="I81" s="678"/>
      <c r="J81" s="678"/>
      <c r="K81" s="450" t="s">
        <v>482</v>
      </c>
      <c r="L81" s="400" t="s">
        <v>507</v>
      </c>
      <c r="M81" s="134">
        <v>44352</v>
      </c>
      <c r="N81" s="134" t="s">
        <v>572</v>
      </c>
      <c r="O81" s="157" t="s">
        <v>487</v>
      </c>
      <c r="P81" s="157" t="s">
        <v>318</v>
      </c>
      <c r="Q81" s="434"/>
      <c r="R81" s="101">
        <v>20170000</v>
      </c>
      <c r="S81" s="453" t="s">
        <v>386</v>
      </c>
      <c r="T81" s="399"/>
      <c r="U81" s="461" t="s">
        <v>466</v>
      </c>
      <c r="V81" s="497"/>
      <c r="W81" s="497"/>
      <c r="X81" s="498"/>
      <c r="Y81" s="498"/>
      <c r="Z81" s="498"/>
      <c r="AA81" s="498"/>
      <c r="AB81" s="498"/>
      <c r="AC81" s="498">
        <v>20170000</v>
      </c>
      <c r="AD81" s="498"/>
      <c r="AE81" s="498"/>
      <c r="AF81" s="498"/>
      <c r="AG81" s="498"/>
      <c r="AH81" s="501">
        <f t="shared" si="51"/>
        <v>20170000</v>
      </c>
      <c r="AI81" s="535">
        <v>29921</v>
      </c>
      <c r="AJ81" s="538">
        <v>44281</v>
      </c>
      <c r="AK81" s="536">
        <v>4000000</v>
      </c>
      <c r="AL81" s="536">
        <f>+AK81</f>
        <v>4000000</v>
      </c>
      <c r="AM81" s="536">
        <v>4000000</v>
      </c>
      <c r="AN81" s="532">
        <f>+R81-AL81</f>
        <v>16170000</v>
      </c>
      <c r="AO81" s="659">
        <f>+AL81-AM81</f>
        <v>0</v>
      </c>
      <c r="AP81" s="533">
        <f>R81-AL81+AO81</f>
        <v>16170000</v>
      </c>
      <c r="AQ81" s="440"/>
      <c r="AR81" s="285"/>
      <c r="AS81" s="285"/>
      <c r="AT81" s="285"/>
      <c r="AU81" s="285"/>
      <c r="AV81" s="285"/>
      <c r="AW81" s="285"/>
      <c r="AX81" s="285"/>
      <c r="AY81" s="285"/>
      <c r="AZ81" s="285"/>
      <c r="BA81" s="285"/>
      <c r="BB81" s="285"/>
      <c r="BC81" s="285"/>
      <c r="BD81" s="285"/>
      <c r="BE81" s="285"/>
      <c r="BF81" s="285"/>
      <c r="BG81" s="285"/>
      <c r="BH81" s="285"/>
      <c r="BI81" s="285"/>
      <c r="BJ81" s="285"/>
      <c r="BK81" s="285"/>
      <c r="BL81" s="285"/>
      <c r="BM81" s="285"/>
      <c r="BN81" s="285"/>
      <c r="BO81" s="285"/>
      <c r="BP81" s="285"/>
      <c r="BQ81" s="285"/>
      <c r="BR81" s="285"/>
      <c r="BS81" s="285"/>
      <c r="BT81" s="285"/>
      <c r="BU81" s="285"/>
      <c r="BV81" s="285"/>
    </row>
    <row r="82" spans="2:74" s="440" customFormat="1" ht="15" customHeight="1" x14ac:dyDescent="0.2">
      <c r="B82" s="682"/>
      <c r="C82" s="683"/>
      <c r="D82" s="683"/>
      <c r="E82" s="683"/>
      <c r="F82" s="683"/>
      <c r="G82" s="683"/>
      <c r="H82" s="683"/>
      <c r="I82" s="683"/>
      <c r="J82" s="683"/>
      <c r="K82" s="450">
        <v>47131900</v>
      </c>
      <c r="L82" s="451" t="s">
        <v>506</v>
      </c>
      <c r="M82" s="134">
        <v>44353</v>
      </c>
      <c r="N82" s="134" t="s">
        <v>572</v>
      </c>
      <c r="O82" s="157" t="s">
        <v>490</v>
      </c>
      <c r="P82" s="157" t="s">
        <v>318</v>
      </c>
      <c r="Q82" s="434"/>
      <c r="R82" s="101">
        <v>3000000</v>
      </c>
      <c r="S82" s="453" t="s">
        <v>386</v>
      </c>
      <c r="T82" s="449"/>
      <c r="U82" s="461" t="s">
        <v>466</v>
      </c>
      <c r="V82" s="497"/>
      <c r="W82" s="497"/>
      <c r="X82" s="498"/>
      <c r="Y82" s="498"/>
      <c r="Z82" s="498"/>
      <c r="AA82" s="498"/>
      <c r="AB82" s="498"/>
      <c r="AC82" s="498"/>
      <c r="AD82" s="498"/>
      <c r="AE82" s="498"/>
      <c r="AF82" s="498">
        <v>3000000</v>
      </c>
      <c r="AG82" s="498"/>
      <c r="AH82" s="501">
        <f t="shared" si="51"/>
        <v>3000000</v>
      </c>
      <c r="AI82" s="721">
        <v>62621</v>
      </c>
      <c r="AJ82" s="726">
        <v>44420</v>
      </c>
      <c r="AK82" s="711">
        <v>4700000</v>
      </c>
      <c r="AL82" s="711">
        <v>4700000</v>
      </c>
      <c r="AM82" s="711">
        <f>+AL82+'[1]Exportar (27)'!$N$43</f>
        <v>4700000</v>
      </c>
      <c r="AN82" s="713">
        <f>(R82+R83)-AL82</f>
        <v>0</v>
      </c>
      <c r="AO82" s="734">
        <f>+AL82-AM82</f>
        <v>0</v>
      </c>
      <c r="AP82" s="730">
        <f>(R83+R82)-AL82+AO82</f>
        <v>0</v>
      </c>
      <c r="AR82" s="285"/>
      <c r="AS82" s="285"/>
      <c r="AT82" s="285"/>
      <c r="AU82" s="285"/>
      <c r="AV82" s="285"/>
      <c r="AW82" s="285"/>
      <c r="AX82" s="285"/>
      <c r="AY82" s="285"/>
      <c r="AZ82" s="285"/>
      <c r="BA82" s="285"/>
      <c r="BB82" s="285"/>
      <c r="BC82" s="285"/>
      <c r="BD82" s="285"/>
      <c r="BE82" s="285"/>
      <c r="BF82" s="285"/>
      <c r="BG82" s="285"/>
      <c r="BH82" s="285"/>
      <c r="BI82" s="285"/>
      <c r="BJ82" s="285"/>
      <c r="BK82" s="285"/>
      <c r="BL82" s="285"/>
      <c r="BM82" s="285"/>
      <c r="BN82" s="285"/>
      <c r="BO82" s="285"/>
      <c r="BP82" s="285"/>
      <c r="BQ82" s="285"/>
      <c r="BR82" s="285"/>
      <c r="BS82" s="285"/>
      <c r="BT82" s="285"/>
      <c r="BU82" s="285"/>
      <c r="BV82" s="285"/>
    </row>
    <row r="83" spans="2:74" s="440" customFormat="1" ht="42.75" customHeight="1" x14ac:dyDescent="0.2">
      <c r="B83" s="682"/>
      <c r="C83" s="683"/>
      <c r="D83" s="683"/>
      <c r="E83" s="683"/>
      <c r="F83" s="683"/>
      <c r="G83" s="683"/>
      <c r="H83" s="683"/>
      <c r="I83" s="683"/>
      <c r="J83" s="683"/>
      <c r="K83" s="450" t="s">
        <v>493</v>
      </c>
      <c r="L83" s="451" t="s">
        <v>505</v>
      </c>
      <c r="M83" s="134">
        <v>44353</v>
      </c>
      <c r="N83" s="134" t="s">
        <v>572</v>
      </c>
      <c r="O83" s="157" t="s">
        <v>490</v>
      </c>
      <c r="P83" s="157" t="s">
        <v>318</v>
      </c>
      <c r="Q83" s="434"/>
      <c r="R83" s="101">
        <v>1700000</v>
      </c>
      <c r="S83" s="453" t="s">
        <v>386</v>
      </c>
      <c r="T83" s="449"/>
      <c r="U83" s="461" t="s">
        <v>466</v>
      </c>
      <c r="V83" s="497"/>
      <c r="W83" s="497"/>
      <c r="X83" s="498"/>
      <c r="Y83" s="498"/>
      <c r="Z83" s="498"/>
      <c r="AA83" s="498"/>
      <c r="AB83" s="498"/>
      <c r="AC83" s="498"/>
      <c r="AD83" s="498"/>
      <c r="AE83" s="498"/>
      <c r="AF83" s="498">
        <v>1700000</v>
      </c>
      <c r="AG83" s="498"/>
      <c r="AH83" s="501">
        <f t="shared" si="51"/>
        <v>1700000</v>
      </c>
      <c r="AI83" s="721"/>
      <c r="AJ83" s="726"/>
      <c r="AK83" s="711"/>
      <c r="AL83" s="711"/>
      <c r="AM83" s="711"/>
      <c r="AN83" s="714"/>
      <c r="AO83" s="735"/>
      <c r="AP83" s="736"/>
      <c r="AR83" s="285"/>
      <c r="AS83" s="285"/>
      <c r="AT83" s="285"/>
      <c r="AU83" s="285"/>
      <c r="AV83" s="285"/>
      <c r="AW83" s="285"/>
      <c r="AX83" s="285"/>
      <c r="AY83" s="285"/>
      <c r="AZ83" s="285"/>
      <c r="BA83" s="285"/>
      <c r="BB83" s="285"/>
      <c r="BC83" s="285"/>
      <c r="BD83" s="285"/>
      <c r="BE83" s="285"/>
      <c r="BF83" s="285"/>
      <c r="BG83" s="285"/>
      <c r="BH83" s="285"/>
      <c r="BI83" s="285"/>
      <c r="BJ83" s="285"/>
      <c r="BK83" s="285"/>
      <c r="BL83" s="285"/>
      <c r="BM83" s="285"/>
      <c r="BN83" s="285"/>
      <c r="BO83" s="285"/>
      <c r="BP83" s="285"/>
      <c r="BQ83" s="285"/>
      <c r="BR83" s="285"/>
      <c r="BS83" s="285"/>
      <c r="BT83" s="285"/>
      <c r="BU83" s="285"/>
      <c r="BV83" s="285"/>
    </row>
    <row r="84" spans="2:74" ht="15" customHeight="1" x14ac:dyDescent="0.2">
      <c r="B84" s="91" t="s">
        <v>7</v>
      </c>
      <c r="C84" s="92" t="s">
        <v>20</v>
      </c>
      <c r="D84" s="92" t="s">
        <v>20</v>
      </c>
      <c r="E84" s="92" t="s">
        <v>8</v>
      </c>
      <c r="F84" s="92" t="s">
        <v>12</v>
      </c>
      <c r="G84" s="92" t="s">
        <v>13</v>
      </c>
      <c r="H84" s="92"/>
      <c r="I84" s="92"/>
      <c r="J84" s="196"/>
      <c r="K84" s="91"/>
      <c r="L84" s="412" t="s">
        <v>42</v>
      </c>
      <c r="M84" s="132"/>
      <c r="N84" s="132"/>
      <c r="O84" s="155"/>
      <c r="P84" s="155"/>
      <c r="Q84" s="434">
        <f>+Q85</f>
        <v>8500000</v>
      </c>
      <c r="R84" s="94">
        <f>+R85</f>
        <v>8500000</v>
      </c>
      <c r="S84" s="92"/>
      <c r="T84" s="95"/>
      <c r="U84" s="244"/>
      <c r="V84" s="497">
        <f>+V85</f>
        <v>0</v>
      </c>
      <c r="W84" s="497">
        <f>+W85</f>
        <v>0</v>
      </c>
      <c r="X84" s="498">
        <f>+X85</f>
        <v>0</v>
      </c>
      <c r="Y84" s="498">
        <f>+Y85</f>
        <v>0</v>
      </c>
      <c r="Z84" s="498">
        <f>+Z85</f>
        <v>0</v>
      </c>
      <c r="AA84" s="498">
        <f t="shared" ref="AA84:AG84" si="57">+AA85</f>
        <v>0</v>
      </c>
      <c r="AB84" s="498">
        <f t="shared" si="57"/>
        <v>4250000</v>
      </c>
      <c r="AC84" s="498">
        <f t="shared" si="57"/>
        <v>0</v>
      </c>
      <c r="AD84" s="498">
        <f t="shared" si="57"/>
        <v>0</v>
      </c>
      <c r="AE84" s="498">
        <f t="shared" si="57"/>
        <v>0</v>
      </c>
      <c r="AF84" s="498">
        <f t="shared" si="57"/>
        <v>0</v>
      </c>
      <c r="AG84" s="498">
        <f t="shared" si="57"/>
        <v>4250000</v>
      </c>
      <c r="AH84" s="501">
        <f t="shared" si="51"/>
        <v>8500000</v>
      </c>
      <c r="AI84" s="535"/>
      <c r="AJ84" s="535"/>
      <c r="AK84" s="536"/>
      <c r="AL84" s="536"/>
      <c r="AM84" s="536"/>
      <c r="AR84" s="285"/>
      <c r="AS84" s="285"/>
      <c r="AT84" s="285"/>
      <c r="AU84" s="285"/>
      <c r="AV84" s="285"/>
      <c r="AW84" s="285"/>
      <c r="AX84" s="285"/>
      <c r="AY84" s="285"/>
      <c r="AZ84" s="285"/>
      <c r="BA84" s="285"/>
      <c r="BB84" s="285"/>
      <c r="BC84" s="285"/>
      <c r="BD84" s="285"/>
      <c r="BE84" s="285"/>
      <c r="BF84" s="285"/>
      <c r="BG84" s="285"/>
      <c r="BH84" s="285"/>
      <c r="BI84" s="285"/>
      <c r="BJ84" s="285"/>
      <c r="BK84" s="285"/>
      <c r="BL84" s="285"/>
      <c r="BM84" s="285"/>
      <c r="BN84" s="285"/>
      <c r="BO84" s="285"/>
      <c r="BP84" s="285"/>
      <c r="BQ84" s="285"/>
      <c r="BR84" s="285"/>
      <c r="BS84" s="285"/>
      <c r="BT84" s="285"/>
      <c r="BU84" s="285"/>
      <c r="BV84" s="285"/>
    </row>
    <row r="85" spans="2:74" ht="34.5" customHeight="1" x14ac:dyDescent="0.2">
      <c r="B85" s="397" t="s">
        <v>7</v>
      </c>
      <c r="C85" s="395" t="s">
        <v>20</v>
      </c>
      <c r="D85" s="395" t="s">
        <v>20</v>
      </c>
      <c r="E85" s="395" t="s">
        <v>8</v>
      </c>
      <c r="F85" s="395" t="s">
        <v>12</v>
      </c>
      <c r="G85" s="395" t="s">
        <v>13</v>
      </c>
      <c r="H85" s="395" t="s">
        <v>8</v>
      </c>
      <c r="I85" s="395"/>
      <c r="J85" s="405"/>
      <c r="K85" s="397"/>
      <c r="L85" s="404" t="s">
        <v>43</v>
      </c>
      <c r="M85" s="133"/>
      <c r="N85" s="133"/>
      <c r="O85" s="156"/>
      <c r="P85" s="156"/>
      <c r="Q85" s="434">
        <v>8500000</v>
      </c>
      <c r="R85" s="5">
        <f>SUM(R86:R86)</f>
        <v>8500000</v>
      </c>
      <c r="S85" s="181"/>
      <c r="T85" s="396"/>
      <c r="U85" s="245"/>
      <c r="V85" s="497">
        <f>SUM(V86:V86)</f>
        <v>0</v>
      </c>
      <c r="W85" s="497">
        <f>SUM(W86:W86)</f>
        <v>0</v>
      </c>
      <c r="X85" s="498">
        <f>SUM(X86:X86)</f>
        <v>0</v>
      </c>
      <c r="Y85" s="498">
        <f>SUM(Y86:Y86)</f>
        <v>0</v>
      </c>
      <c r="Z85" s="498">
        <f>SUM(Z86:Z86)</f>
        <v>0</v>
      </c>
      <c r="AA85" s="498">
        <f t="shared" ref="AA85:AG85" si="58">SUM(AA86:AA86)</f>
        <v>0</v>
      </c>
      <c r="AB85" s="498">
        <f t="shared" si="58"/>
        <v>4250000</v>
      </c>
      <c r="AC85" s="498">
        <f t="shared" si="58"/>
        <v>0</v>
      </c>
      <c r="AD85" s="498">
        <f t="shared" si="58"/>
        <v>0</v>
      </c>
      <c r="AE85" s="498">
        <f t="shared" si="58"/>
        <v>0</v>
      </c>
      <c r="AF85" s="498">
        <f t="shared" si="58"/>
        <v>0</v>
      </c>
      <c r="AG85" s="498">
        <f t="shared" si="58"/>
        <v>4250000</v>
      </c>
      <c r="AH85" s="501">
        <f t="shared" si="51"/>
        <v>8500000</v>
      </c>
      <c r="AI85" s="535"/>
      <c r="AJ85" s="535"/>
      <c r="AK85" s="536"/>
      <c r="AL85" s="536"/>
      <c r="AM85" s="536"/>
      <c r="AR85" s="285"/>
      <c r="AS85" s="285"/>
      <c r="AT85" s="285"/>
      <c r="AU85" s="285"/>
      <c r="AV85" s="285"/>
      <c r="AW85" s="285"/>
      <c r="AX85" s="285"/>
      <c r="AY85" s="285"/>
      <c r="AZ85" s="285"/>
      <c r="BA85" s="285"/>
      <c r="BB85" s="285"/>
      <c r="BC85" s="285"/>
      <c r="BD85" s="285"/>
      <c r="BE85" s="285"/>
      <c r="BF85" s="285"/>
      <c r="BG85" s="285"/>
      <c r="BH85" s="285"/>
      <c r="BI85" s="285"/>
      <c r="BJ85" s="285"/>
      <c r="BK85" s="285"/>
      <c r="BL85" s="285"/>
      <c r="BM85" s="285"/>
      <c r="BN85" s="285"/>
      <c r="BO85" s="285"/>
      <c r="BP85" s="285"/>
      <c r="BQ85" s="285"/>
      <c r="BR85" s="285"/>
      <c r="BS85" s="285"/>
      <c r="BT85" s="285"/>
      <c r="BU85" s="285"/>
      <c r="BV85" s="285"/>
    </row>
    <row r="86" spans="2:74" ht="30" customHeight="1" x14ac:dyDescent="0.2">
      <c r="B86" s="677"/>
      <c r="C86" s="678"/>
      <c r="D86" s="678"/>
      <c r="E86" s="678"/>
      <c r="F86" s="678"/>
      <c r="G86" s="678"/>
      <c r="H86" s="678"/>
      <c r="I86" s="678"/>
      <c r="J86" s="678"/>
      <c r="K86" s="177" t="s">
        <v>300</v>
      </c>
      <c r="L86" s="400" t="s">
        <v>174</v>
      </c>
      <c r="M86" s="134">
        <v>44270</v>
      </c>
      <c r="N86" s="134" t="s">
        <v>574</v>
      </c>
      <c r="O86" s="157" t="s">
        <v>299</v>
      </c>
      <c r="P86" s="157" t="s">
        <v>318</v>
      </c>
      <c r="Q86" s="434"/>
      <c r="R86" s="101">
        <v>8500000</v>
      </c>
      <c r="S86" s="453" t="s">
        <v>386</v>
      </c>
      <c r="T86" s="399"/>
      <c r="U86" s="253" t="s">
        <v>181</v>
      </c>
      <c r="V86" s="497"/>
      <c r="W86" s="497"/>
      <c r="X86" s="498"/>
      <c r="Y86" s="498"/>
      <c r="Z86" s="498"/>
      <c r="AA86" s="498"/>
      <c r="AB86" s="498">
        <v>4250000</v>
      </c>
      <c r="AC86" s="498"/>
      <c r="AD86" s="498"/>
      <c r="AE86" s="498"/>
      <c r="AF86" s="498"/>
      <c r="AG86" s="498">
        <v>4250000</v>
      </c>
      <c r="AH86" s="501">
        <f t="shared" si="51"/>
        <v>8500000</v>
      </c>
      <c r="AI86" s="535">
        <v>16821</v>
      </c>
      <c r="AJ86" s="538">
        <v>44243</v>
      </c>
      <c r="AK86" s="536">
        <v>8500000</v>
      </c>
      <c r="AL86" s="536">
        <v>2852400</v>
      </c>
      <c r="AM86" s="536">
        <v>2852400</v>
      </c>
      <c r="AN86" s="532">
        <f>+R86-AL86</f>
        <v>5647600</v>
      </c>
      <c r="AO86" s="532">
        <f>+AL86-AM86</f>
        <v>0</v>
      </c>
      <c r="AP86" s="533">
        <f>R86-AL86+AO86</f>
        <v>5647600</v>
      </c>
      <c r="AQ86" s="440"/>
      <c r="AR86" s="285"/>
      <c r="AS86" s="285"/>
      <c r="AT86" s="285"/>
      <c r="AU86" s="285"/>
      <c r="AV86" s="285"/>
      <c r="AW86" s="285"/>
      <c r="AX86" s="285"/>
      <c r="AY86" s="285"/>
      <c r="AZ86" s="285"/>
      <c r="BA86" s="285"/>
      <c r="BB86" s="285"/>
      <c r="BC86" s="285"/>
      <c r="BD86" s="285"/>
      <c r="BE86" s="285"/>
      <c r="BF86" s="285"/>
      <c r="BG86" s="285"/>
      <c r="BH86" s="285"/>
      <c r="BI86" s="285"/>
      <c r="BJ86" s="285"/>
      <c r="BK86" s="285"/>
      <c r="BL86" s="285"/>
      <c r="BM86" s="285"/>
      <c r="BN86" s="285"/>
      <c r="BO86" s="285"/>
      <c r="BP86" s="285"/>
      <c r="BQ86" s="285"/>
      <c r="BR86" s="285"/>
      <c r="BS86" s="285"/>
      <c r="BT86" s="285"/>
      <c r="BU86" s="285"/>
      <c r="BV86" s="285"/>
    </row>
    <row r="87" spans="2:74" ht="15" customHeight="1" x14ac:dyDescent="0.2">
      <c r="B87" s="91" t="s">
        <v>7</v>
      </c>
      <c r="C87" s="92" t="s">
        <v>20</v>
      </c>
      <c r="D87" s="92" t="s">
        <v>20</v>
      </c>
      <c r="E87" s="92" t="s">
        <v>8</v>
      </c>
      <c r="F87" s="92" t="s">
        <v>12</v>
      </c>
      <c r="G87" s="92" t="s">
        <v>15</v>
      </c>
      <c r="H87" s="92"/>
      <c r="I87" s="92"/>
      <c r="J87" s="196"/>
      <c r="K87" s="91"/>
      <c r="L87" s="412" t="s">
        <v>48</v>
      </c>
      <c r="M87" s="132"/>
      <c r="N87" s="132"/>
      <c r="O87" s="155"/>
      <c r="P87" s="155"/>
      <c r="Q87" s="434">
        <f>SUM(Q88:Q88)</f>
        <v>128000000</v>
      </c>
      <c r="R87" s="94">
        <f>SUM(R88:R88)</f>
        <v>145000000</v>
      </c>
      <c r="S87" s="92"/>
      <c r="T87" s="95"/>
      <c r="U87" s="244"/>
      <c r="V87" s="497">
        <f>SUM(V88:V88)</f>
        <v>0</v>
      </c>
      <c r="W87" s="497">
        <f>SUM(W88:W88)</f>
        <v>0</v>
      </c>
      <c r="X87" s="498">
        <f>SUM(X88:X88)</f>
        <v>0</v>
      </c>
      <c r="Y87" s="498">
        <f>SUM(Y88:Y88)</f>
        <v>25000000</v>
      </c>
      <c r="Z87" s="498">
        <f>SUM(Z88:Z88)</f>
        <v>0</v>
      </c>
      <c r="AA87" s="498">
        <f t="shared" ref="AA87:AG87" si="59">SUM(AA88:AA88)</f>
        <v>0</v>
      </c>
      <c r="AB87" s="498">
        <f t="shared" si="59"/>
        <v>95000000</v>
      </c>
      <c r="AC87" s="498">
        <f t="shared" si="59"/>
        <v>0</v>
      </c>
      <c r="AD87" s="498">
        <f t="shared" si="59"/>
        <v>0</v>
      </c>
      <c r="AE87" s="498">
        <f t="shared" si="59"/>
        <v>0</v>
      </c>
      <c r="AF87" s="498">
        <f t="shared" si="59"/>
        <v>25000000</v>
      </c>
      <c r="AG87" s="498">
        <f t="shared" si="59"/>
        <v>0</v>
      </c>
      <c r="AH87" s="501">
        <f t="shared" si="51"/>
        <v>145000000</v>
      </c>
      <c r="AI87" s="535"/>
      <c r="AJ87" s="535"/>
      <c r="AK87" s="536"/>
      <c r="AL87" s="536"/>
      <c r="AM87" s="536"/>
      <c r="AR87" s="285"/>
      <c r="AS87" s="285"/>
      <c r="AT87" s="285"/>
      <c r="AU87" s="285"/>
      <c r="AV87" s="285"/>
      <c r="AW87" s="285"/>
      <c r="AX87" s="285"/>
      <c r="AY87" s="285"/>
      <c r="AZ87" s="285"/>
      <c r="BA87" s="285"/>
      <c r="BB87" s="285"/>
      <c r="BC87" s="285"/>
      <c r="BD87" s="285"/>
      <c r="BE87" s="285"/>
      <c r="BF87" s="285"/>
      <c r="BG87" s="285"/>
      <c r="BH87" s="285"/>
      <c r="BI87" s="285"/>
      <c r="BJ87" s="285"/>
      <c r="BK87" s="285"/>
      <c r="BL87" s="285"/>
      <c r="BM87" s="285"/>
      <c r="BN87" s="285"/>
      <c r="BO87" s="285"/>
      <c r="BP87" s="285"/>
      <c r="BQ87" s="285"/>
      <c r="BR87" s="285"/>
      <c r="BS87" s="285"/>
      <c r="BT87" s="285"/>
      <c r="BU87" s="285"/>
      <c r="BV87" s="285"/>
    </row>
    <row r="88" spans="2:74" ht="15" customHeight="1" x14ac:dyDescent="0.2">
      <c r="B88" s="397" t="s">
        <v>7</v>
      </c>
      <c r="C88" s="395" t="s">
        <v>20</v>
      </c>
      <c r="D88" s="395" t="s">
        <v>20</v>
      </c>
      <c r="E88" s="395" t="s">
        <v>8</v>
      </c>
      <c r="F88" s="395" t="s">
        <v>12</v>
      </c>
      <c r="G88" s="395" t="s">
        <v>15</v>
      </c>
      <c r="H88" s="395" t="s">
        <v>30</v>
      </c>
      <c r="I88" s="395"/>
      <c r="J88" s="405"/>
      <c r="K88" s="397"/>
      <c r="L88" s="404" t="s">
        <v>48</v>
      </c>
      <c r="M88" s="133"/>
      <c r="N88" s="133"/>
      <c r="O88" s="156"/>
      <c r="P88" s="156"/>
      <c r="Q88" s="434">
        <f>69000000+59000000</f>
        <v>128000000</v>
      </c>
      <c r="R88" s="5">
        <f>SUM(R89:R91)</f>
        <v>145000000</v>
      </c>
      <c r="S88" s="181"/>
      <c r="T88" s="396"/>
      <c r="U88" s="245"/>
      <c r="V88" s="497">
        <f>SUM(V89:V91)</f>
        <v>0</v>
      </c>
      <c r="W88" s="497">
        <f>SUM(W89:W91)</f>
        <v>0</v>
      </c>
      <c r="X88" s="498">
        <f>SUM(X89:X91)</f>
        <v>0</v>
      </c>
      <c r="Y88" s="498">
        <f>SUM(Y89:Y91)</f>
        <v>25000000</v>
      </c>
      <c r="Z88" s="498">
        <f>SUM(Z89:Z91)</f>
        <v>0</v>
      </c>
      <c r="AA88" s="498">
        <f t="shared" ref="AA88:AF88" si="60">SUM(AA89:AA91)</f>
        <v>0</v>
      </c>
      <c r="AB88" s="498">
        <f t="shared" si="60"/>
        <v>95000000</v>
      </c>
      <c r="AC88" s="498">
        <f t="shared" si="60"/>
        <v>0</v>
      </c>
      <c r="AD88" s="498">
        <f t="shared" si="60"/>
        <v>0</v>
      </c>
      <c r="AE88" s="498">
        <f t="shared" si="60"/>
        <v>0</v>
      </c>
      <c r="AF88" s="498">
        <f t="shared" si="60"/>
        <v>25000000</v>
      </c>
      <c r="AG88" s="498">
        <f t="shared" ref="AG88" si="61">SUM(AG89:AG91)</f>
        <v>0</v>
      </c>
      <c r="AH88" s="501">
        <f t="shared" si="51"/>
        <v>145000000</v>
      </c>
      <c r="AI88" s="535"/>
      <c r="AJ88" s="535"/>
      <c r="AK88" s="536"/>
      <c r="AL88" s="536"/>
      <c r="AM88" s="536"/>
      <c r="AR88" s="285"/>
      <c r="AS88" s="285"/>
      <c r="AT88" s="285"/>
      <c r="AU88" s="285"/>
      <c r="AV88" s="285"/>
      <c r="AW88" s="285"/>
      <c r="AX88" s="285"/>
      <c r="AY88" s="285"/>
      <c r="AZ88" s="285"/>
      <c r="BA88" s="285"/>
      <c r="BB88" s="285"/>
      <c r="BC88" s="285"/>
      <c r="BD88" s="285"/>
      <c r="BE88" s="285"/>
      <c r="BF88" s="285"/>
      <c r="BG88" s="285"/>
      <c r="BH88" s="285"/>
      <c r="BI88" s="285"/>
      <c r="BJ88" s="285"/>
      <c r="BK88" s="285"/>
      <c r="BL88" s="285"/>
      <c r="BM88" s="285"/>
      <c r="BN88" s="285"/>
      <c r="BO88" s="285"/>
      <c r="BP88" s="285"/>
      <c r="BQ88" s="285"/>
      <c r="BR88" s="285"/>
      <c r="BS88" s="285"/>
      <c r="BT88" s="285"/>
      <c r="BU88" s="285"/>
      <c r="BV88" s="285"/>
    </row>
    <row r="89" spans="2:74" ht="30" customHeight="1" x14ac:dyDescent="0.2">
      <c r="B89" s="677"/>
      <c r="C89" s="678"/>
      <c r="D89" s="678"/>
      <c r="E89" s="678"/>
      <c r="F89" s="678"/>
      <c r="G89" s="678"/>
      <c r="H89" s="678"/>
      <c r="I89" s="678"/>
      <c r="J89" s="678"/>
      <c r="K89" s="177" t="s">
        <v>302</v>
      </c>
      <c r="L89" s="400" t="s">
        <v>172</v>
      </c>
      <c r="M89" s="134">
        <v>44449</v>
      </c>
      <c r="N89" s="134" t="s">
        <v>577</v>
      </c>
      <c r="O89" s="157" t="s">
        <v>294</v>
      </c>
      <c r="P89" s="157" t="s">
        <v>318</v>
      </c>
      <c r="Q89" s="434"/>
      <c r="R89" s="101">
        <v>25000000</v>
      </c>
      <c r="S89" s="453" t="s">
        <v>386</v>
      </c>
      <c r="T89" s="399"/>
      <c r="U89" s="253" t="s">
        <v>181</v>
      </c>
      <c r="V89" s="497"/>
      <c r="W89" s="497"/>
      <c r="X89" s="498"/>
      <c r="Y89" s="498"/>
      <c r="Z89" s="498"/>
      <c r="AA89" s="498"/>
      <c r="AB89" s="498"/>
      <c r="AC89" s="498"/>
      <c r="AD89" s="498"/>
      <c r="AE89" s="498"/>
      <c r="AF89" s="498">
        <v>25000000</v>
      </c>
      <c r="AG89" s="498"/>
      <c r="AH89" s="501">
        <f t="shared" si="51"/>
        <v>25000000</v>
      </c>
      <c r="AI89" s="535">
        <v>84021</v>
      </c>
      <c r="AJ89" s="538">
        <v>44491</v>
      </c>
      <c r="AK89" s="536">
        <v>25000000</v>
      </c>
      <c r="AL89" s="536">
        <v>25000000</v>
      </c>
      <c r="AM89" s="536">
        <v>18651500</v>
      </c>
      <c r="AN89" s="532">
        <f>+R89-AL89</f>
        <v>0</v>
      </c>
      <c r="AO89" s="547">
        <f>+AL89-AM89</f>
        <v>6348500</v>
      </c>
      <c r="AP89" s="533">
        <f>R89-AL89+AO89</f>
        <v>6348500</v>
      </c>
      <c r="AR89" s="285"/>
      <c r="AS89" s="285"/>
      <c r="AT89" s="285"/>
      <c r="AU89" s="285"/>
      <c r="AV89" s="285"/>
      <c r="AW89" s="285"/>
      <c r="AX89" s="285"/>
      <c r="AY89" s="285"/>
      <c r="AZ89" s="285"/>
      <c r="BA89" s="285"/>
      <c r="BB89" s="285"/>
      <c r="BC89" s="285"/>
      <c r="BD89" s="285"/>
      <c r="BE89" s="285"/>
      <c r="BF89" s="285"/>
      <c r="BG89" s="285"/>
      <c r="BH89" s="285"/>
      <c r="BI89" s="285"/>
      <c r="BJ89" s="285"/>
      <c r="BK89" s="285"/>
      <c r="BL89" s="285"/>
      <c r="BM89" s="285"/>
      <c r="BN89" s="285"/>
      <c r="BO89" s="285"/>
      <c r="BP89" s="285"/>
      <c r="BQ89" s="285"/>
      <c r="BR89" s="285"/>
      <c r="BS89" s="285"/>
      <c r="BT89" s="285"/>
      <c r="BU89" s="285"/>
      <c r="BV89" s="285"/>
    </row>
    <row r="90" spans="2:74" ht="30" customHeight="1" x14ac:dyDescent="0.2">
      <c r="B90" s="682"/>
      <c r="C90" s="683"/>
      <c r="D90" s="683"/>
      <c r="E90" s="683"/>
      <c r="F90" s="683"/>
      <c r="G90" s="683"/>
      <c r="H90" s="683"/>
      <c r="I90" s="683"/>
      <c r="J90" s="683"/>
      <c r="K90" s="398">
        <v>43231500</v>
      </c>
      <c r="L90" s="400" t="s">
        <v>173</v>
      </c>
      <c r="M90" s="134">
        <v>44270</v>
      </c>
      <c r="N90" s="134" t="s">
        <v>574</v>
      </c>
      <c r="O90" s="157" t="s">
        <v>294</v>
      </c>
      <c r="P90" s="157" t="s">
        <v>318</v>
      </c>
      <c r="Q90" s="434"/>
      <c r="R90" s="101">
        <v>25000000</v>
      </c>
      <c r="S90" s="453" t="s">
        <v>386</v>
      </c>
      <c r="T90" s="399"/>
      <c r="U90" s="253" t="s">
        <v>181</v>
      </c>
      <c r="V90" s="497"/>
      <c r="W90" s="497"/>
      <c r="X90" s="498"/>
      <c r="Y90" s="498">
        <v>25000000</v>
      </c>
      <c r="Z90" s="498"/>
      <c r="AA90" s="498"/>
      <c r="AB90" s="498"/>
      <c r="AC90" s="498"/>
      <c r="AD90" s="498"/>
      <c r="AE90" s="498"/>
      <c r="AF90" s="498"/>
      <c r="AG90" s="498"/>
      <c r="AH90" s="501">
        <f t="shared" si="51"/>
        <v>25000000</v>
      </c>
      <c r="AI90" s="535">
        <v>16621</v>
      </c>
      <c r="AJ90" s="538">
        <v>44243</v>
      </c>
      <c r="AK90" s="536">
        <v>25000000</v>
      </c>
      <c r="AL90" s="536">
        <v>15070010</v>
      </c>
      <c r="AM90" s="536">
        <v>15070010</v>
      </c>
      <c r="AN90" s="532">
        <f>+R90-AL90</f>
        <v>9929990</v>
      </c>
      <c r="AO90" s="532">
        <f>+AL90-AM90</f>
        <v>0</v>
      </c>
      <c r="AP90" s="533">
        <f>R90-AL90+AO90</f>
        <v>9929990</v>
      </c>
      <c r="AQ90" s="440"/>
      <c r="AR90" s="285"/>
      <c r="AS90" s="285"/>
      <c r="AT90" s="285"/>
      <c r="AU90" s="285"/>
      <c r="AV90" s="285"/>
      <c r="AW90" s="285"/>
      <c r="AX90" s="285"/>
      <c r="AY90" s="285"/>
      <c r="AZ90" s="285"/>
      <c r="BA90" s="285"/>
      <c r="BB90" s="285"/>
      <c r="BC90" s="285"/>
      <c r="BD90" s="285"/>
      <c r="BE90" s="285"/>
      <c r="BF90" s="285"/>
      <c r="BG90" s="285"/>
      <c r="BH90" s="285"/>
      <c r="BI90" s="285"/>
      <c r="BJ90" s="285"/>
      <c r="BK90" s="285"/>
      <c r="BL90" s="285"/>
      <c r="BM90" s="285"/>
      <c r="BN90" s="285"/>
      <c r="BO90" s="285"/>
      <c r="BP90" s="285"/>
      <c r="BQ90" s="285"/>
      <c r="BR90" s="285"/>
      <c r="BS90" s="285"/>
      <c r="BT90" s="285"/>
      <c r="BU90" s="285"/>
      <c r="BV90" s="285"/>
    </row>
    <row r="91" spans="2:74" ht="15" customHeight="1" x14ac:dyDescent="0.2">
      <c r="B91" s="682"/>
      <c r="C91" s="683"/>
      <c r="D91" s="683"/>
      <c r="E91" s="683"/>
      <c r="F91" s="683"/>
      <c r="G91" s="683"/>
      <c r="H91" s="683"/>
      <c r="I91" s="683"/>
      <c r="J91" s="683"/>
      <c r="K91" s="398">
        <v>43231500</v>
      </c>
      <c r="L91" s="451" t="s">
        <v>229</v>
      </c>
      <c r="M91" s="134">
        <v>44291</v>
      </c>
      <c r="N91" s="134" t="s">
        <v>573</v>
      </c>
      <c r="O91" s="157" t="s">
        <v>294</v>
      </c>
      <c r="P91" s="157" t="s">
        <v>384</v>
      </c>
      <c r="Q91" s="434"/>
      <c r="R91" s="101">
        <v>95000000</v>
      </c>
      <c r="S91" s="453" t="s">
        <v>386</v>
      </c>
      <c r="T91" s="399"/>
      <c r="U91" s="253" t="s">
        <v>181</v>
      </c>
      <c r="V91" s="497"/>
      <c r="W91" s="497"/>
      <c r="X91" s="498"/>
      <c r="Y91" s="498"/>
      <c r="Z91" s="498"/>
      <c r="AA91" s="498"/>
      <c r="AB91" s="498">
        <v>95000000</v>
      </c>
      <c r="AC91" s="498"/>
      <c r="AD91" s="498"/>
      <c r="AE91" s="498"/>
      <c r="AF91" s="498"/>
      <c r="AG91" s="498"/>
      <c r="AH91" s="501">
        <f t="shared" si="51"/>
        <v>95000000</v>
      </c>
      <c r="AI91" s="535">
        <v>35421</v>
      </c>
      <c r="AJ91" s="538">
        <v>44300</v>
      </c>
      <c r="AK91" s="536">
        <v>95000000</v>
      </c>
      <c r="AL91" s="536">
        <v>73110632.400000006</v>
      </c>
      <c r="AM91" s="536">
        <v>73110632.400000006</v>
      </c>
      <c r="AN91" s="532">
        <f>+R91-AL91</f>
        <v>21889367.599999994</v>
      </c>
      <c r="AO91" s="532">
        <f>+AL91-AM91</f>
        <v>0</v>
      </c>
      <c r="AP91" s="533">
        <f>R91-AL91+AO91</f>
        <v>21889367.599999994</v>
      </c>
      <c r="AQ91" s="440"/>
      <c r="AR91" s="285"/>
      <c r="AS91" s="285"/>
      <c r="AT91" s="285"/>
      <c r="AU91" s="285"/>
      <c r="AV91" s="285"/>
      <c r="AW91" s="285"/>
      <c r="AX91" s="285"/>
      <c r="AY91" s="285"/>
      <c r="AZ91" s="285"/>
      <c r="BA91" s="285"/>
      <c r="BB91" s="285"/>
      <c r="BC91" s="285"/>
      <c r="BD91" s="285"/>
      <c r="BE91" s="285"/>
      <c r="BF91" s="285"/>
      <c r="BG91" s="285"/>
      <c r="BH91" s="285"/>
      <c r="BI91" s="285"/>
      <c r="BJ91" s="285"/>
      <c r="BK91" s="285"/>
      <c r="BL91" s="285"/>
      <c r="BM91" s="285"/>
      <c r="BN91" s="285"/>
      <c r="BO91" s="285"/>
      <c r="BP91" s="285"/>
      <c r="BQ91" s="285"/>
      <c r="BR91" s="285"/>
      <c r="BS91" s="285"/>
      <c r="BT91" s="285"/>
      <c r="BU91" s="285"/>
      <c r="BV91" s="285"/>
    </row>
    <row r="92" spans="2:74" ht="30" customHeight="1" x14ac:dyDescent="0.2">
      <c r="B92" s="91" t="s">
        <v>7</v>
      </c>
      <c r="C92" s="92" t="s">
        <v>20</v>
      </c>
      <c r="D92" s="92" t="s">
        <v>20</v>
      </c>
      <c r="E92" s="92" t="s">
        <v>8</v>
      </c>
      <c r="F92" s="92" t="s">
        <v>12</v>
      </c>
      <c r="G92" s="92" t="s">
        <v>16</v>
      </c>
      <c r="H92" s="92"/>
      <c r="I92" s="92"/>
      <c r="J92" s="196"/>
      <c r="K92" s="91"/>
      <c r="L92" s="412" t="s">
        <v>143</v>
      </c>
      <c r="M92" s="132"/>
      <c r="N92" s="132"/>
      <c r="O92" s="155"/>
      <c r="P92" s="155"/>
      <c r="Q92" s="434">
        <f>+Q93+Q95</f>
        <v>20000000</v>
      </c>
      <c r="R92" s="94">
        <f>+R93+R95</f>
        <v>8500000</v>
      </c>
      <c r="S92" s="92"/>
      <c r="T92" s="95"/>
      <c r="U92" s="244"/>
      <c r="V92" s="497">
        <f t="shared" ref="V92:AG92" si="62">+V93+V95</f>
        <v>0</v>
      </c>
      <c r="W92" s="497">
        <f t="shared" si="62"/>
        <v>0</v>
      </c>
      <c r="X92" s="498">
        <f t="shared" si="62"/>
        <v>0</v>
      </c>
      <c r="Y92" s="498">
        <f t="shared" si="62"/>
        <v>0</v>
      </c>
      <c r="Z92" s="498">
        <f t="shared" si="62"/>
        <v>0</v>
      </c>
      <c r="AA92" s="498">
        <f t="shared" si="62"/>
        <v>0</v>
      </c>
      <c r="AB92" s="498">
        <f t="shared" si="62"/>
        <v>4500000</v>
      </c>
      <c r="AC92" s="498">
        <f t="shared" si="62"/>
        <v>4000000</v>
      </c>
      <c r="AD92" s="498">
        <f t="shared" si="62"/>
        <v>0</v>
      </c>
      <c r="AE92" s="498">
        <f t="shared" si="62"/>
        <v>0</v>
      </c>
      <c r="AF92" s="498">
        <f t="shared" si="62"/>
        <v>0</v>
      </c>
      <c r="AG92" s="498">
        <f t="shared" si="62"/>
        <v>0</v>
      </c>
      <c r="AH92" s="501">
        <f t="shared" si="51"/>
        <v>8500000</v>
      </c>
      <c r="AI92" s="535"/>
      <c r="AJ92" s="535"/>
      <c r="AK92" s="536"/>
      <c r="AL92" s="536"/>
      <c r="AM92" s="536"/>
      <c r="AR92" s="285"/>
      <c r="AS92" s="285"/>
      <c r="AT92" s="285"/>
      <c r="AU92" s="285"/>
      <c r="AV92" s="285"/>
      <c r="AW92" s="285"/>
      <c r="AX92" s="285"/>
      <c r="AY92" s="285"/>
      <c r="AZ92" s="285"/>
      <c r="BA92" s="285"/>
      <c r="BB92" s="285"/>
      <c r="BC92" s="285"/>
      <c r="BD92" s="285"/>
      <c r="BE92" s="285"/>
      <c r="BF92" s="285"/>
      <c r="BG92" s="285"/>
      <c r="BH92" s="285"/>
      <c r="BI92" s="285"/>
      <c r="BJ92" s="285"/>
      <c r="BK92" s="285"/>
      <c r="BL92" s="285"/>
      <c r="BM92" s="285"/>
      <c r="BN92" s="285"/>
      <c r="BO92" s="285"/>
      <c r="BP92" s="285"/>
      <c r="BQ92" s="285"/>
      <c r="BR92" s="285"/>
      <c r="BS92" s="285"/>
      <c r="BT92" s="285"/>
      <c r="BU92" s="285"/>
      <c r="BV92" s="285"/>
    </row>
    <row r="93" spans="2:74" ht="60" customHeight="1" x14ac:dyDescent="0.2">
      <c r="B93" s="397" t="s">
        <v>7</v>
      </c>
      <c r="C93" s="395" t="s">
        <v>20</v>
      </c>
      <c r="D93" s="395" t="s">
        <v>20</v>
      </c>
      <c r="E93" s="395" t="s">
        <v>8</v>
      </c>
      <c r="F93" s="395" t="s">
        <v>12</v>
      </c>
      <c r="G93" s="395" t="s">
        <v>16</v>
      </c>
      <c r="H93" s="395" t="s">
        <v>20</v>
      </c>
      <c r="I93" s="395"/>
      <c r="J93" s="405"/>
      <c r="K93" s="397"/>
      <c r="L93" s="404" t="s">
        <v>141</v>
      </c>
      <c r="M93" s="133"/>
      <c r="N93" s="133"/>
      <c r="O93" s="156"/>
      <c r="P93" s="156"/>
      <c r="Q93" s="434">
        <v>10000000</v>
      </c>
      <c r="R93" s="5">
        <f>+R94</f>
        <v>4000000</v>
      </c>
      <c r="S93" s="181"/>
      <c r="T93" s="396"/>
      <c r="U93" s="245"/>
      <c r="V93" s="497">
        <f>+V94</f>
        <v>0</v>
      </c>
      <c r="W93" s="497">
        <f t="shared" ref="W93:AG93" si="63">+W94</f>
        <v>0</v>
      </c>
      <c r="X93" s="498">
        <f t="shared" si="63"/>
        <v>0</v>
      </c>
      <c r="Y93" s="498">
        <f t="shared" si="63"/>
        <v>0</v>
      </c>
      <c r="Z93" s="498">
        <f t="shared" si="63"/>
        <v>0</v>
      </c>
      <c r="AA93" s="498">
        <f t="shared" si="63"/>
        <v>0</v>
      </c>
      <c r="AB93" s="498">
        <f t="shared" si="63"/>
        <v>0</v>
      </c>
      <c r="AC93" s="498">
        <f t="shared" si="63"/>
        <v>4000000</v>
      </c>
      <c r="AD93" s="498">
        <f t="shared" si="63"/>
        <v>0</v>
      </c>
      <c r="AE93" s="498">
        <f t="shared" si="63"/>
        <v>0</v>
      </c>
      <c r="AF93" s="498">
        <f t="shared" si="63"/>
        <v>0</v>
      </c>
      <c r="AG93" s="498">
        <f t="shared" si="63"/>
        <v>0</v>
      </c>
      <c r="AH93" s="501">
        <f t="shared" si="51"/>
        <v>4000000</v>
      </c>
      <c r="AI93" s="535"/>
      <c r="AJ93" s="535"/>
      <c r="AK93" s="536"/>
      <c r="AL93" s="536"/>
      <c r="AM93" s="536"/>
      <c r="AR93" s="285"/>
      <c r="AS93" s="285"/>
      <c r="AT93" s="285"/>
      <c r="AU93" s="285"/>
      <c r="AV93" s="285"/>
      <c r="AW93" s="285"/>
      <c r="AX93" s="285"/>
      <c r="AY93" s="285"/>
      <c r="AZ93" s="285"/>
      <c r="BA93" s="285"/>
      <c r="BB93" s="285"/>
      <c r="BC93" s="285"/>
      <c r="BD93" s="285"/>
      <c r="BE93" s="285"/>
      <c r="BF93" s="285"/>
      <c r="BG93" s="285"/>
      <c r="BH93" s="285"/>
      <c r="BI93" s="285"/>
      <c r="BJ93" s="285"/>
      <c r="BK93" s="285"/>
      <c r="BL93" s="285"/>
      <c r="BM93" s="285"/>
      <c r="BN93" s="285"/>
      <c r="BO93" s="285"/>
      <c r="BP93" s="285"/>
      <c r="BQ93" s="285"/>
      <c r="BR93" s="285"/>
      <c r="BS93" s="285"/>
      <c r="BT93" s="285"/>
      <c r="BU93" s="285"/>
      <c r="BV93" s="285"/>
    </row>
    <row r="94" spans="2:74" ht="30" customHeight="1" x14ac:dyDescent="0.2">
      <c r="B94" s="677"/>
      <c r="C94" s="678"/>
      <c r="D94" s="678"/>
      <c r="E94" s="678"/>
      <c r="F94" s="678"/>
      <c r="G94" s="678"/>
      <c r="H94" s="678"/>
      <c r="I94" s="678"/>
      <c r="J94" s="678"/>
      <c r="K94" s="398">
        <v>81141500</v>
      </c>
      <c r="L94" s="400" t="s">
        <v>259</v>
      </c>
      <c r="M94" s="134">
        <v>44317</v>
      </c>
      <c r="N94" s="134" t="s">
        <v>575</v>
      </c>
      <c r="O94" s="157" t="s">
        <v>294</v>
      </c>
      <c r="P94" s="157" t="s">
        <v>318</v>
      </c>
      <c r="Q94" s="434"/>
      <c r="R94" s="101">
        <v>4000000</v>
      </c>
      <c r="S94" s="402" t="s">
        <v>350</v>
      </c>
      <c r="T94" s="399"/>
      <c r="U94" s="253" t="s">
        <v>268</v>
      </c>
      <c r="V94" s="497"/>
      <c r="W94" s="497"/>
      <c r="X94" s="498"/>
      <c r="Y94" s="498"/>
      <c r="Z94" s="498"/>
      <c r="AA94" s="498"/>
      <c r="AB94" s="498"/>
      <c r="AC94" s="498">
        <v>4000000</v>
      </c>
      <c r="AD94" s="498"/>
      <c r="AE94" s="498"/>
      <c r="AF94" s="498"/>
      <c r="AG94" s="498"/>
      <c r="AH94" s="501">
        <f t="shared" si="51"/>
        <v>4000000</v>
      </c>
      <c r="AI94" s="535">
        <v>26921</v>
      </c>
      <c r="AJ94" s="538">
        <v>44271</v>
      </c>
      <c r="AK94" s="536">
        <v>4000000</v>
      </c>
      <c r="AL94" s="536">
        <v>2100000</v>
      </c>
      <c r="AM94" s="536">
        <v>2100000</v>
      </c>
      <c r="AN94" s="532">
        <f>+R94-AL94</f>
        <v>1900000</v>
      </c>
      <c r="AO94" s="532">
        <f>+AL94-AM94</f>
        <v>0</v>
      </c>
      <c r="AP94" s="533">
        <f>R94-AL94+AO94</f>
        <v>1900000</v>
      </c>
      <c r="AQ94" s="440"/>
      <c r="AR94" s="285"/>
      <c r="AS94" s="285"/>
      <c r="AT94" s="285"/>
      <c r="AU94" s="285"/>
      <c r="AV94" s="285"/>
      <c r="AW94" s="285"/>
      <c r="AX94" s="285"/>
      <c r="AY94" s="285"/>
      <c r="AZ94" s="285"/>
      <c r="BA94" s="285"/>
      <c r="BB94" s="285"/>
      <c r="BC94" s="285"/>
      <c r="BD94" s="285"/>
      <c r="BE94" s="285"/>
      <c r="BF94" s="285"/>
      <c r="BG94" s="285"/>
      <c r="BH94" s="285"/>
      <c r="BI94" s="285"/>
      <c r="BJ94" s="285"/>
      <c r="BK94" s="285"/>
      <c r="BL94" s="285"/>
      <c r="BM94" s="285"/>
      <c r="BN94" s="285"/>
      <c r="BO94" s="285"/>
      <c r="BP94" s="285"/>
      <c r="BQ94" s="285"/>
      <c r="BR94" s="285"/>
      <c r="BS94" s="285"/>
      <c r="BT94" s="285"/>
      <c r="BU94" s="285"/>
      <c r="BV94" s="285"/>
    </row>
    <row r="95" spans="2:74" ht="28.5" customHeight="1" x14ac:dyDescent="0.2">
      <c r="B95" s="397" t="s">
        <v>7</v>
      </c>
      <c r="C95" s="395" t="s">
        <v>20</v>
      </c>
      <c r="D95" s="395" t="s">
        <v>20</v>
      </c>
      <c r="E95" s="395" t="s">
        <v>8</v>
      </c>
      <c r="F95" s="395" t="s">
        <v>12</v>
      </c>
      <c r="G95" s="395" t="s">
        <v>16</v>
      </c>
      <c r="H95" s="395" t="s">
        <v>23</v>
      </c>
      <c r="I95" s="395"/>
      <c r="J95" s="405"/>
      <c r="K95" s="397"/>
      <c r="L95" s="404" t="s">
        <v>142</v>
      </c>
      <c r="M95" s="133"/>
      <c r="N95" s="133"/>
      <c r="O95" s="156"/>
      <c r="P95" s="156"/>
      <c r="Q95" s="434">
        <v>10000000</v>
      </c>
      <c r="R95" s="5">
        <f>+R96</f>
        <v>4500000</v>
      </c>
      <c r="S95" s="181"/>
      <c r="T95" s="396"/>
      <c r="U95" s="245"/>
      <c r="V95" s="497">
        <f>+V96</f>
        <v>0</v>
      </c>
      <c r="W95" s="497">
        <f t="shared" ref="W95:AG95" si="64">+W96</f>
        <v>0</v>
      </c>
      <c r="X95" s="499">
        <f t="shared" si="64"/>
        <v>0</v>
      </c>
      <c r="Y95" s="499">
        <f t="shared" si="64"/>
        <v>0</v>
      </c>
      <c r="Z95" s="499">
        <f t="shared" si="64"/>
        <v>0</v>
      </c>
      <c r="AA95" s="499">
        <f t="shared" si="64"/>
        <v>0</v>
      </c>
      <c r="AB95" s="499">
        <f t="shared" si="64"/>
        <v>4500000</v>
      </c>
      <c r="AC95" s="499">
        <f t="shared" si="64"/>
        <v>0</v>
      </c>
      <c r="AD95" s="499">
        <f t="shared" si="64"/>
        <v>0</v>
      </c>
      <c r="AE95" s="499">
        <f t="shared" si="64"/>
        <v>0</v>
      </c>
      <c r="AF95" s="499">
        <f t="shared" si="64"/>
        <v>0</v>
      </c>
      <c r="AG95" s="499">
        <f t="shared" si="64"/>
        <v>0</v>
      </c>
      <c r="AH95" s="501">
        <f t="shared" si="51"/>
        <v>4500000</v>
      </c>
      <c r="AI95" s="535"/>
      <c r="AJ95" s="535"/>
      <c r="AK95" s="536"/>
      <c r="AL95" s="536"/>
      <c r="AM95" s="536"/>
      <c r="AR95" s="285"/>
      <c r="AS95" s="285"/>
      <c r="AT95" s="285"/>
      <c r="AU95" s="285"/>
      <c r="AV95" s="285"/>
      <c r="AW95" s="285"/>
      <c r="AX95" s="285"/>
      <c r="AY95" s="285"/>
      <c r="AZ95" s="285"/>
      <c r="BA95" s="285"/>
      <c r="BB95" s="285"/>
      <c r="BC95" s="285"/>
      <c r="BD95" s="285"/>
      <c r="BE95" s="285"/>
      <c r="BF95" s="285"/>
      <c r="BG95" s="285"/>
      <c r="BH95" s="285"/>
      <c r="BI95" s="285"/>
      <c r="BJ95" s="285"/>
      <c r="BK95" s="285"/>
      <c r="BL95" s="285"/>
      <c r="BM95" s="285"/>
      <c r="BN95" s="285"/>
      <c r="BO95" s="285"/>
      <c r="BP95" s="285"/>
      <c r="BQ95" s="285"/>
      <c r="BR95" s="285"/>
      <c r="BS95" s="285"/>
      <c r="BT95" s="285"/>
      <c r="BU95" s="285"/>
      <c r="BV95" s="285"/>
    </row>
    <row r="96" spans="2:74" s="394" customFormat="1" ht="120" customHeight="1" x14ac:dyDescent="0.2">
      <c r="B96" s="119"/>
      <c r="C96" s="120"/>
      <c r="D96" s="120"/>
      <c r="E96" s="120"/>
      <c r="F96" s="120"/>
      <c r="G96" s="120"/>
      <c r="H96" s="120"/>
      <c r="I96" s="120"/>
      <c r="J96" s="435"/>
      <c r="K96" s="177" t="s">
        <v>488</v>
      </c>
      <c r="L96" s="400" t="s">
        <v>280</v>
      </c>
      <c r="M96" s="134">
        <v>44319</v>
      </c>
      <c r="N96" s="134" t="s">
        <v>575</v>
      </c>
      <c r="O96" s="157" t="s">
        <v>491</v>
      </c>
      <c r="P96" s="157" t="s">
        <v>483</v>
      </c>
      <c r="Q96" s="434"/>
      <c r="R96" s="101">
        <v>4500000</v>
      </c>
      <c r="S96" s="453" t="s">
        <v>386</v>
      </c>
      <c r="T96" s="399"/>
      <c r="U96" s="461" t="s">
        <v>466</v>
      </c>
      <c r="V96" s="497"/>
      <c r="W96" s="497"/>
      <c r="X96" s="498"/>
      <c r="Y96" s="498"/>
      <c r="Z96" s="498"/>
      <c r="AA96" s="498"/>
      <c r="AB96" s="498">
        <v>4500000</v>
      </c>
      <c r="AC96" s="498"/>
      <c r="AD96" s="498"/>
      <c r="AE96" s="498"/>
      <c r="AF96" s="498"/>
      <c r="AG96" s="498"/>
      <c r="AH96" s="501">
        <f t="shared" si="51"/>
        <v>4500000</v>
      </c>
      <c r="AI96" s="535">
        <v>63121</v>
      </c>
      <c r="AJ96" s="538">
        <v>44425</v>
      </c>
      <c r="AK96" s="536">
        <v>4500000</v>
      </c>
      <c r="AL96" s="536">
        <v>4499866</v>
      </c>
      <c r="AM96" s="536">
        <v>4499866</v>
      </c>
      <c r="AN96" s="532">
        <f>+R96-AL96</f>
        <v>134</v>
      </c>
      <c r="AO96" s="532">
        <f>+AL96-AM96</f>
        <v>0</v>
      </c>
      <c r="AP96" s="533">
        <f>R96-AL96+AO96</f>
        <v>134</v>
      </c>
      <c r="AR96" s="285"/>
      <c r="AS96" s="285"/>
      <c r="AT96" s="285"/>
      <c r="AU96" s="285"/>
      <c r="AV96" s="285"/>
      <c r="AW96" s="285"/>
      <c r="AX96" s="285"/>
      <c r="AY96" s="285"/>
      <c r="AZ96" s="285"/>
      <c r="BA96" s="285"/>
      <c r="BB96" s="285"/>
      <c r="BC96" s="285"/>
      <c r="BD96" s="285"/>
      <c r="BE96" s="285"/>
      <c r="BF96" s="285"/>
      <c r="BG96" s="285"/>
      <c r="BH96" s="285"/>
      <c r="BI96" s="285"/>
      <c r="BJ96" s="285"/>
      <c r="BK96" s="285"/>
      <c r="BL96" s="285"/>
      <c r="BM96" s="285"/>
      <c r="BN96" s="285"/>
      <c r="BO96" s="285"/>
      <c r="BP96" s="285"/>
      <c r="BQ96" s="285"/>
      <c r="BR96" s="285"/>
      <c r="BS96" s="285"/>
      <c r="BT96" s="285"/>
      <c r="BU96" s="285"/>
      <c r="BV96" s="285"/>
    </row>
    <row r="97" spans="2:74" ht="15" customHeight="1" x14ac:dyDescent="0.2">
      <c r="B97" s="41" t="s">
        <v>7</v>
      </c>
      <c r="C97" s="42" t="s">
        <v>20</v>
      </c>
      <c r="D97" s="42" t="s">
        <v>20</v>
      </c>
      <c r="E97" s="42" t="s">
        <v>20</v>
      </c>
      <c r="F97" s="42"/>
      <c r="G97" s="42"/>
      <c r="H97" s="42"/>
      <c r="I97" s="42"/>
      <c r="J97" s="194"/>
      <c r="K97" s="41"/>
      <c r="L97" s="410" t="s">
        <v>75</v>
      </c>
      <c r="M97" s="130"/>
      <c r="N97" s="130"/>
      <c r="O97" s="153"/>
      <c r="P97" s="153"/>
      <c r="Q97" s="434">
        <f>+Q98+Q112+Q118+Q174+Q189</f>
        <v>4026000000</v>
      </c>
      <c r="R97" s="44">
        <f>+R98+R112+R118+R174+R189</f>
        <v>4072330000</v>
      </c>
      <c r="S97" s="180"/>
      <c r="T97" s="45"/>
      <c r="U97" s="438"/>
      <c r="V97" s="497">
        <f t="shared" ref="V97:AG97" si="65">+V98+V112+V118+V174+V189</f>
        <v>79095142.857142866</v>
      </c>
      <c r="W97" s="497">
        <f t="shared" si="65"/>
        <v>108358142.85714287</v>
      </c>
      <c r="X97" s="497">
        <f t="shared" si="65"/>
        <v>234438142.85714287</v>
      </c>
      <c r="Y97" s="497">
        <f t="shared" si="65"/>
        <v>2094418142.8571429</v>
      </c>
      <c r="Z97" s="497">
        <f t="shared" si="65"/>
        <v>134148142.85714285</v>
      </c>
      <c r="AA97" s="497">
        <f t="shared" si="65"/>
        <v>163998142.85714287</v>
      </c>
      <c r="AB97" s="497">
        <f t="shared" si="65"/>
        <v>153592142.85714287</v>
      </c>
      <c r="AC97" s="497">
        <f t="shared" si="65"/>
        <v>229753000</v>
      </c>
      <c r="AD97" s="497">
        <f t="shared" si="65"/>
        <v>200253000</v>
      </c>
      <c r="AE97" s="497">
        <f t="shared" si="65"/>
        <v>160253000</v>
      </c>
      <c r="AF97" s="497">
        <f t="shared" si="65"/>
        <v>318663000</v>
      </c>
      <c r="AG97" s="497">
        <f t="shared" si="65"/>
        <v>145560000</v>
      </c>
      <c r="AH97" s="501">
        <f t="shared" si="51"/>
        <v>4022530000.0000005</v>
      </c>
      <c r="AI97" s="535"/>
      <c r="AJ97" s="535"/>
      <c r="AK97" s="536"/>
      <c r="AL97" s="536"/>
      <c r="AM97" s="536"/>
      <c r="AR97" s="285"/>
      <c r="AS97" s="285"/>
      <c r="AT97" s="285"/>
      <c r="AU97" s="285"/>
      <c r="AV97" s="285"/>
      <c r="AW97" s="285"/>
      <c r="AX97" s="285"/>
      <c r="AY97" s="285"/>
      <c r="AZ97" s="285"/>
      <c r="BA97" s="285"/>
      <c r="BB97" s="285"/>
      <c r="BC97" s="285"/>
      <c r="BD97" s="285"/>
      <c r="BE97" s="285"/>
      <c r="BF97" s="285"/>
      <c r="BG97" s="285"/>
      <c r="BH97" s="285"/>
      <c r="BI97" s="285"/>
      <c r="BJ97" s="285"/>
      <c r="BK97" s="285"/>
      <c r="BL97" s="285"/>
      <c r="BM97" s="285"/>
      <c r="BN97" s="285"/>
      <c r="BO97" s="285"/>
      <c r="BP97" s="285"/>
      <c r="BQ97" s="285"/>
      <c r="BR97" s="285"/>
      <c r="BS97" s="285"/>
      <c r="BT97" s="285"/>
      <c r="BU97" s="285"/>
      <c r="BV97" s="285"/>
    </row>
    <row r="98" spans="2:74" ht="45" customHeight="1" x14ac:dyDescent="0.2">
      <c r="B98" s="13" t="s">
        <v>7</v>
      </c>
      <c r="C98" s="14" t="s">
        <v>20</v>
      </c>
      <c r="D98" s="14" t="s">
        <v>20</v>
      </c>
      <c r="E98" s="14" t="s">
        <v>20</v>
      </c>
      <c r="F98" s="14" t="s">
        <v>14</v>
      </c>
      <c r="G98" s="14"/>
      <c r="H98" s="14"/>
      <c r="I98" s="14"/>
      <c r="J98" s="195"/>
      <c r="K98" s="13"/>
      <c r="L98" s="411" t="s">
        <v>81</v>
      </c>
      <c r="M98" s="131"/>
      <c r="N98" s="131"/>
      <c r="O98" s="154"/>
      <c r="P98" s="154"/>
      <c r="Q98" s="434">
        <f>+Q99+Q103+Q106</f>
        <v>512000000</v>
      </c>
      <c r="R98" s="16">
        <f>+R99+R103+R106</f>
        <v>775820000</v>
      </c>
      <c r="S98" s="14"/>
      <c r="T98" s="17"/>
      <c r="U98" s="252"/>
      <c r="V98" s="497">
        <f>+V99+V103+V106</f>
        <v>33000000</v>
      </c>
      <c r="W98" s="497">
        <f>+W99+W103+W106</f>
        <v>31973000</v>
      </c>
      <c r="X98" s="498">
        <f>+X99+X103+X106</f>
        <v>131903000</v>
      </c>
      <c r="Y98" s="498">
        <f>+Y99+Y103+Y106</f>
        <v>154323000</v>
      </c>
      <c r="Z98" s="498">
        <f>+Z99+Z103+Z106</f>
        <v>38403000</v>
      </c>
      <c r="AA98" s="498">
        <f t="shared" ref="AA98:AF98" si="66">+AA99+AA103+AA106</f>
        <v>43403000</v>
      </c>
      <c r="AB98" s="498">
        <f t="shared" si="66"/>
        <v>38403000</v>
      </c>
      <c r="AC98" s="498">
        <f t="shared" si="66"/>
        <v>38403000</v>
      </c>
      <c r="AD98" s="498">
        <f t="shared" si="66"/>
        <v>38403000</v>
      </c>
      <c r="AE98" s="498">
        <f t="shared" si="66"/>
        <v>38403000</v>
      </c>
      <c r="AF98" s="498">
        <f t="shared" si="66"/>
        <v>38403000</v>
      </c>
      <c r="AG98" s="498">
        <f t="shared" ref="AG98" si="67">+AG99+AG103+AG106</f>
        <v>42800000</v>
      </c>
      <c r="AH98" s="501">
        <f t="shared" si="51"/>
        <v>667820000</v>
      </c>
      <c r="AI98" s="535"/>
      <c r="AJ98" s="535"/>
      <c r="AK98" s="536"/>
      <c r="AL98" s="536"/>
      <c r="AM98" s="536"/>
      <c r="AR98" s="285"/>
      <c r="AS98" s="285"/>
      <c r="AT98" s="285"/>
      <c r="AU98" s="285"/>
      <c r="AV98" s="285"/>
      <c r="AW98" s="285"/>
      <c r="AX98" s="285"/>
      <c r="AY98" s="285"/>
      <c r="AZ98" s="285"/>
      <c r="BA98" s="285"/>
      <c r="BB98" s="285"/>
      <c r="BC98" s="285"/>
      <c r="BD98" s="285"/>
      <c r="BE98" s="285"/>
      <c r="BF98" s="285"/>
      <c r="BG98" s="285"/>
      <c r="BH98" s="285"/>
      <c r="BI98" s="285"/>
      <c r="BJ98" s="285"/>
      <c r="BK98" s="285"/>
      <c r="BL98" s="285"/>
      <c r="BM98" s="285"/>
      <c r="BN98" s="285"/>
      <c r="BO98" s="285"/>
      <c r="BP98" s="285"/>
      <c r="BQ98" s="285"/>
      <c r="BR98" s="285"/>
      <c r="BS98" s="285"/>
      <c r="BT98" s="285"/>
      <c r="BU98" s="285"/>
      <c r="BV98" s="285"/>
    </row>
    <row r="99" spans="2:74" ht="15" customHeight="1" x14ac:dyDescent="0.2">
      <c r="B99" s="91" t="s">
        <v>7</v>
      </c>
      <c r="C99" s="92" t="s">
        <v>20</v>
      </c>
      <c r="D99" s="92" t="s">
        <v>20</v>
      </c>
      <c r="E99" s="92" t="s">
        <v>20</v>
      </c>
      <c r="F99" s="92" t="s">
        <v>14</v>
      </c>
      <c r="G99" s="92" t="s">
        <v>12</v>
      </c>
      <c r="H99" s="92"/>
      <c r="I99" s="92"/>
      <c r="J99" s="196"/>
      <c r="K99" s="91"/>
      <c r="L99" s="412" t="s">
        <v>82</v>
      </c>
      <c r="M99" s="132"/>
      <c r="N99" s="132"/>
      <c r="O99" s="155"/>
      <c r="P99" s="155"/>
      <c r="Q99" s="434">
        <v>65000000</v>
      </c>
      <c r="R99" s="94">
        <f>SUM(R100:R102)</f>
        <v>45000000</v>
      </c>
      <c r="S99" s="92"/>
      <c r="T99" s="95"/>
      <c r="U99" s="244"/>
      <c r="V99" s="497">
        <f>SUM(V100:V102)</f>
        <v>0</v>
      </c>
      <c r="W99" s="497">
        <f>SUM(W100:W102)</f>
        <v>700000</v>
      </c>
      <c r="X99" s="498">
        <f>SUM(X100:X102)</f>
        <v>630000</v>
      </c>
      <c r="Y99" s="498">
        <f>SUM(Y100:Y102)</f>
        <v>7230000</v>
      </c>
      <c r="Z99" s="498">
        <f>SUM(Z100:Z102)</f>
        <v>7130000</v>
      </c>
      <c r="AA99" s="498">
        <f t="shared" ref="AA99:AF99" si="68">SUM(AA100:AA102)</f>
        <v>7130000</v>
      </c>
      <c r="AB99" s="498">
        <f t="shared" si="68"/>
        <v>7130000</v>
      </c>
      <c r="AC99" s="498">
        <f t="shared" si="68"/>
        <v>7130000</v>
      </c>
      <c r="AD99" s="498">
        <f t="shared" si="68"/>
        <v>7130000</v>
      </c>
      <c r="AE99" s="498">
        <f t="shared" si="68"/>
        <v>7130000</v>
      </c>
      <c r="AF99" s="498">
        <f t="shared" si="68"/>
        <v>7130000</v>
      </c>
      <c r="AG99" s="498">
        <f t="shared" ref="AG99" si="69">SUM(AG100:AG102)</f>
        <v>6530000</v>
      </c>
      <c r="AH99" s="501">
        <f t="shared" si="51"/>
        <v>65000000</v>
      </c>
      <c r="AI99" s="535"/>
      <c r="AJ99" s="535"/>
      <c r="AK99" s="536"/>
      <c r="AL99" s="536"/>
      <c r="AM99" s="536"/>
      <c r="AR99" s="285"/>
      <c r="AS99" s="285"/>
      <c r="AT99" s="285"/>
      <c r="AU99" s="285"/>
      <c r="AV99" s="285"/>
      <c r="AW99" s="285"/>
      <c r="AX99" s="285"/>
      <c r="AY99" s="285"/>
      <c r="AZ99" s="285"/>
      <c r="BA99" s="285"/>
      <c r="BB99" s="285"/>
      <c r="BC99" s="285"/>
      <c r="BD99" s="285"/>
      <c r="BE99" s="285"/>
      <c r="BF99" s="285"/>
      <c r="BG99" s="285"/>
      <c r="BH99" s="285"/>
      <c r="BI99" s="285"/>
      <c r="BJ99" s="285"/>
      <c r="BK99" s="285"/>
      <c r="BL99" s="285"/>
      <c r="BM99" s="285"/>
      <c r="BN99" s="285"/>
      <c r="BO99" s="285"/>
      <c r="BP99" s="285"/>
      <c r="BQ99" s="285"/>
      <c r="BR99" s="285"/>
      <c r="BS99" s="285"/>
      <c r="BT99" s="285"/>
      <c r="BU99" s="285"/>
      <c r="BV99" s="285"/>
    </row>
    <row r="100" spans="2:74" ht="60" customHeight="1" x14ac:dyDescent="0.2">
      <c r="B100" s="677"/>
      <c r="C100" s="678"/>
      <c r="D100" s="678"/>
      <c r="E100" s="678"/>
      <c r="F100" s="678"/>
      <c r="G100" s="678"/>
      <c r="H100" s="678"/>
      <c r="I100" s="678"/>
      <c r="J100" s="678"/>
      <c r="K100" s="177" t="s">
        <v>383</v>
      </c>
      <c r="L100" s="400" t="s">
        <v>245</v>
      </c>
      <c r="M100" s="134">
        <v>44216</v>
      </c>
      <c r="N100" s="134" t="s">
        <v>539</v>
      </c>
      <c r="O100" s="157" t="s">
        <v>381</v>
      </c>
      <c r="P100" s="157" t="s">
        <v>384</v>
      </c>
      <c r="Q100" s="434"/>
      <c r="R100" s="101">
        <f>48000000-20000000</f>
        <v>28000000</v>
      </c>
      <c r="S100" s="453" t="s">
        <v>386</v>
      </c>
      <c r="T100" s="399"/>
      <c r="U100" s="253" t="s">
        <v>270</v>
      </c>
      <c r="V100" s="497"/>
      <c r="W100" s="497"/>
      <c r="X100" s="498"/>
      <c r="Y100" s="498">
        <v>5400000</v>
      </c>
      <c r="Z100" s="498">
        <v>5400000</v>
      </c>
      <c r="AA100" s="498">
        <v>5400000</v>
      </c>
      <c r="AB100" s="498">
        <v>5400000</v>
      </c>
      <c r="AC100" s="498">
        <v>5400000</v>
      </c>
      <c r="AD100" s="498">
        <v>5400000</v>
      </c>
      <c r="AE100" s="498">
        <v>5400000</v>
      </c>
      <c r="AF100" s="498">
        <v>5400000</v>
      </c>
      <c r="AG100" s="498">
        <v>4800000</v>
      </c>
      <c r="AH100" s="501">
        <f t="shared" si="51"/>
        <v>48000000</v>
      </c>
      <c r="AI100" s="535">
        <v>9121</v>
      </c>
      <c r="AJ100" s="535"/>
      <c r="AK100" s="536">
        <v>28000000</v>
      </c>
      <c r="AL100" s="536">
        <v>28000000</v>
      </c>
      <c r="AM100" s="536">
        <v>28000000</v>
      </c>
      <c r="AN100" s="532">
        <f>+R100-AL100</f>
        <v>0</v>
      </c>
      <c r="AO100" s="532">
        <f>+AL100-AM100</f>
        <v>0</v>
      </c>
      <c r="AP100" s="532">
        <f>R100-AL100+AO100</f>
        <v>0</v>
      </c>
      <c r="AR100" s="285"/>
      <c r="AS100" s="285"/>
      <c r="AT100" s="285"/>
      <c r="AU100" s="285"/>
      <c r="AV100" s="285"/>
      <c r="AW100" s="285"/>
      <c r="AX100" s="285"/>
      <c r="AY100" s="285"/>
      <c r="AZ100" s="285"/>
      <c r="BA100" s="285"/>
      <c r="BB100" s="285"/>
      <c r="BC100" s="285"/>
      <c r="BD100" s="285"/>
      <c r="BE100" s="285"/>
      <c r="BF100" s="285"/>
      <c r="BG100" s="285"/>
      <c r="BH100" s="285"/>
      <c r="BI100" s="285"/>
      <c r="BJ100" s="285"/>
      <c r="BK100" s="285"/>
      <c r="BL100" s="285"/>
      <c r="BM100" s="285"/>
      <c r="BN100" s="285"/>
      <c r="BO100" s="285"/>
      <c r="BP100" s="285"/>
      <c r="BQ100" s="285"/>
      <c r="BR100" s="285"/>
      <c r="BS100" s="285"/>
      <c r="BT100" s="285"/>
      <c r="BU100" s="285"/>
      <c r="BV100" s="285"/>
    </row>
    <row r="101" spans="2:74" ht="60" customHeight="1" x14ac:dyDescent="0.2">
      <c r="B101" s="682"/>
      <c r="C101" s="683"/>
      <c r="D101" s="683"/>
      <c r="E101" s="683"/>
      <c r="F101" s="683"/>
      <c r="G101" s="683"/>
      <c r="H101" s="683"/>
      <c r="I101" s="683"/>
      <c r="J101" s="683"/>
      <c r="K101" s="177" t="s">
        <v>383</v>
      </c>
      <c r="L101" s="400" t="s">
        <v>246</v>
      </c>
      <c r="M101" s="134">
        <v>44216</v>
      </c>
      <c r="N101" s="134" t="s">
        <v>539</v>
      </c>
      <c r="O101" s="157" t="s">
        <v>381</v>
      </c>
      <c r="P101" s="157" t="s">
        <v>318</v>
      </c>
      <c r="Q101" s="434"/>
      <c r="R101" s="101">
        <v>10000000</v>
      </c>
      <c r="S101" s="453" t="s">
        <v>386</v>
      </c>
      <c r="T101" s="399"/>
      <c r="U101" s="253" t="s">
        <v>270</v>
      </c>
      <c r="V101" s="497"/>
      <c r="W101" s="497"/>
      <c r="X101" s="498"/>
      <c r="Y101" s="498">
        <v>1200000</v>
      </c>
      <c r="Z101" s="498">
        <v>1100000</v>
      </c>
      <c r="AA101" s="498">
        <v>1100000</v>
      </c>
      <c r="AB101" s="498">
        <v>1100000</v>
      </c>
      <c r="AC101" s="498">
        <v>1100000</v>
      </c>
      <c r="AD101" s="498">
        <v>1100000</v>
      </c>
      <c r="AE101" s="498">
        <v>1100000</v>
      </c>
      <c r="AF101" s="498">
        <v>1100000</v>
      </c>
      <c r="AG101" s="498">
        <v>1100000</v>
      </c>
      <c r="AH101" s="501">
        <f t="shared" si="51"/>
        <v>10000000</v>
      </c>
      <c r="AI101" s="535">
        <v>7021</v>
      </c>
      <c r="AJ101" s="538">
        <v>44218</v>
      </c>
      <c r="AK101" s="536">
        <v>10000000</v>
      </c>
      <c r="AL101" s="536">
        <v>10000000</v>
      </c>
      <c r="AM101" s="536">
        <v>10000000</v>
      </c>
      <c r="AN101" s="532">
        <f>+R101-AL101</f>
        <v>0</v>
      </c>
      <c r="AO101" s="532">
        <f>+AL101-AM101</f>
        <v>0</v>
      </c>
      <c r="AP101" s="532">
        <f>R101-AL101+AO101</f>
        <v>0</v>
      </c>
      <c r="AR101" s="285"/>
      <c r="AS101" s="285"/>
      <c r="AT101" s="285"/>
      <c r="AU101" s="285"/>
      <c r="AV101" s="285"/>
      <c r="AW101" s="285"/>
      <c r="AX101" s="285"/>
      <c r="AY101" s="285"/>
      <c r="AZ101" s="285"/>
      <c r="BA101" s="285"/>
      <c r="BB101" s="285"/>
      <c r="BC101" s="285"/>
      <c r="BD101" s="285"/>
      <c r="BE101" s="285"/>
      <c r="BF101" s="285"/>
      <c r="BG101" s="285"/>
      <c r="BH101" s="285"/>
      <c r="BI101" s="285"/>
      <c r="BJ101" s="285"/>
      <c r="BK101" s="285"/>
      <c r="BL101" s="285"/>
      <c r="BM101" s="285"/>
      <c r="BN101" s="285"/>
      <c r="BO101" s="285"/>
      <c r="BP101" s="285"/>
      <c r="BQ101" s="285"/>
      <c r="BR101" s="285"/>
      <c r="BS101" s="285"/>
      <c r="BT101" s="285"/>
      <c r="BU101" s="285"/>
      <c r="BV101" s="285"/>
    </row>
    <row r="102" spans="2:74" ht="15" customHeight="1" x14ac:dyDescent="0.2">
      <c r="B102" s="682"/>
      <c r="C102" s="683"/>
      <c r="D102" s="683"/>
      <c r="E102" s="683"/>
      <c r="F102" s="683"/>
      <c r="G102" s="683"/>
      <c r="H102" s="683"/>
      <c r="I102" s="683"/>
      <c r="J102" s="683"/>
      <c r="K102" s="113"/>
      <c r="L102" s="406" t="s">
        <v>248</v>
      </c>
      <c r="M102" s="137"/>
      <c r="N102" s="137"/>
      <c r="O102" s="160"/>
      <c r="P102" s="160"/>
      <c r="Q102" s="434"/>
      <c r="R102" s="115">
        <v>7000000</v>
      </c>
      <c r="S102" s="187"/>
      <c r="T102" s="116"/>
      <c r="U102" s="256" t="s">
        <v>355</v>
      </c>
      <c r="V102" s="497"/>
      <c r="W102" s="497">
        <v>700000</v>
      </c>
      <c r="X102" s="498">
        <v>630000</v>
      </c>
      <c r="Y102" s="498">
        <v>630000</v>
      </c>
      <c r="Z102" s="498">
        <v>630000</v>
      </c>
      <c r="AA102" s="498">
        <v>630000</v>
      </c>
      <c r="AB102" s="498">
        <v>630000</v>
      </c>
      <c r="AC102" s="498">
        <v>630000</v>
      </c>
      <c r="AD102" s="498">
        <v>630000</v>
      </c>
      <c r="AE102" s="498">
        <v>630000</v>
      </c>
      <c r="AF102" s="498">
        <v>630000</v>
      </c>
      <c r="AG102" s="498">
        <v>630000</v>
      </c>
      <c r="AH102" s="501">
        <f t="shared" si="51"/>
        <v>7000000</v>
      </c>
      <c r="AI102" s="666" t="s">
        <v>684</v>
      </c>
      <c r="AJ102" s="535"/>
      <c r="AK102" s="536">
        <v>1369857</v>
      </c>
      <c r="AL102" s="536">
        <v>1369857</v>
      </c>
      <c r="AM102" s="536">
        <v>629857</v>
      </c>
      <c r="AN102" s="532">
        <f>+R102-AL102</f>
        <v>5630143</v>
      </c>
      <c r="AO102" s="532">
        <f>+AL102-AM102</f>
        <v>740000</v>
      </c>
      <c r="AP102" s="533">
        <f>R102-AL102+AO102</f>
        <v>6370143</v>
      </c>
      <c r="AR102" s="285"/>
      <c r="AS102" s="285"/>
      <c r="AT102" s="285"/>
      <c r="AU102" s="285"/>
      <c r="AV102" s="285"/>
      <c r="AW102" s="285"/>
      <c r="AX102" s="285"/>
      <c r="AY102" s="285"/>
      <c r="AZ102" s="285"/>
      <c r="BA102" s="285"/>
      <c r="BB102" s="285"/>
      <c r="BC102" s="285"/>
      <c r="BD102" s="285"/>
      <c r="BE102" s="285"/>
      <c r="BF102" s="285"/>
      <c r="BG102" s="285"/>
      <c r="BH102" s="285"/>
      <c r="BI102" s="285"/>
      <c r="BJ102" s="285"/>
      <c r="BK102" s="285"/>
      <c r="BL102" s="285"/>
      <c r="BM102" s="285"/>
      <c r="BN102" s="285"/>
      <c r="BO102" s="285"/>
      <c r="BP102" s="285"/>
      <c r="BQ102" s="285"/>
      <c r="BR102" s="285"/>
      <c r="BS102" s="285"/>
      <c r="BT102" s="285"/>
      <c r="BU102" s="285"/>
      <c r="BV102" s="285"/>
    </row>
    <row r="103" spans="2:74" ht="15" customHeight="1" x14ac:dyDescent="0.2">
      <c r="B103" s="91" t="s">
        <v>7</v>
      </c>
      <c r="C103" s="92" t="s">
        <v>20</v>
      </c>
      <c r="D103" s="92" t="s">
        <v>20</v>
      </c>
      <c r="E103" s="92" t="s">
        <v>20</v>
      </c>
      <c r="F103" s="92" t="s">
        <v>14</v>
      </c>
      <c r="G103" s="92" t="s">
        <v>16</v>
      </c>
      <c r="H103" s="92"/>
      <c r="I103" s="92"/>
      <c r="J103" s="196"/>
      <c r="K103" s="91"/>
      <c r="L103" s="412" t="s">
        <v>83</v>
      </c>
      <c r="M103" s="132"/>
      <c r="N103" s="132"/>
      <c r="O103" s="155"/>
      <c r="P103" s="155"/>
      <c r="Q103" s="434">
        <v>10000000</v>
      </c>
      <c r="R103" s="94">
        <f>SUM(R104:R105)</f>
        <v>13000000</v>
      </c>
      <c r="S103" s="92"/>
      <c r="T103" s="95"/>
      <c r="U103" s="244"/>
      <c r="V103" s="497">
        <f>SUM(V104:V105)</f>
        <v>0</v>
      </c>
      <c r="W103" s="497">
        <f>SUM(W104:W105)</f>
        <v>273000</v>
      </c>
      <c r="X103" s="498">
        <f>SUM(X104:X105)</f>
        <v>273000</v>
      </c>
      <c r="Y103" s="498">
        <f>SUM(Y104:Y105)</f>
        <v>273000</v>
      </c>
      <c r="Z103" s="498">
        <f>SUM(Z104:Z105)</f>
        <v>273000</v>
      </c>
      <c r="AA103" s="498">
        <f t="shared" ref="AA103:AF103" si="70">SUM(AA104:AA105)</f>
        <v>5273000</v>
      </c>
      <c r="AB103" s="498">
        <f t="shared" si="70"/>
        <v>273000</v>
      </c>
      <c r="AC103" s="498">
        <f t="shared" si="70"/>
        <v>273000</v>
      </c>
      <c r="AD103" s="498">
        <f t="shared" si="70"/>
        <v>273000</v>
      </c>
      <c r="AE103" s="498">
        <f t="shared" si="70"/>
        <v>273000</v>
      </c>
      <c r="AF103" s="498">
        <f t="shared" si="70"/>
        <v>273000</v>
      </c>
      <c r="AG103" s="498">
        <f t="shared" ref="AG103" si="71">SUM(AG104:AG105)</f>
        <v>5270000</v>
      </c>
      <c r="AH103" s="501">
        <f t="shared" si="51"/>
        <v>13000000</v>
      </c>
      <c r="AI103" s="535"/>
      <c r="AJ103" s="535"/>
      <c r="AK103" s="536"/>
      <c r="AL103" s="536"/>
      <c r="AM103" s="536"/>
      <c r="AR103" s="285"/>
      <c r="AS103" s="285"/>
      <c r="AT103" s="285"/>
      <c r="AU103" s="285"/>
      <c r="AV103" s="285"/>
      <c r="AW103" s="285"/>
      <c r="AX103" s="285"/>
      <c r="AY103" s="285"/>
      <c r="AZ103" s="285"/>
      <c r="BA103" s="285"/>
      <c r="BB103" s="285"/>
      <c r="BC103" s="285"/>
      <c r="BD103" s="285"/>
      <c r="BE103" s="285"/>
      <c r="BF103" s="285"/>
      <c r="BG103" s="285"/>
      <c r="BH103" s="285"/>
      <c r="BI103" s="285"/>
      <c r="BJ103" s="285"/>
      <c r="BK103" s="285"/>
      <c r="BL103" s="285"/>
      <c r="BM103" s="285"/>
      <c r="BN103" s="285"/>
      <c r="BO103" s="285"/>
      <c r="BP103" s="285"/>
      <c r="BQ103" s="285"/>
      <c r="BR103" s="285"/>
      <c r="BS103" s="285"/>
      <c r="BT103" s="285"/>
      <c r="BU103" s="285"/>
      <c r="BV103" s="285"/>
    </row>
    <row r="104" spans="2:74" ht="15" customHeight="1" x14ac:dyDescent="0.2">
      <c r="B104" s="677"/>
      <c r="C104" s="678"/>
      <c r="D104" s="678"/>
      <c r="E104" s="678"/>
      <c r="F104" s="678"/>
      <c r="G104" s="678"/>
      <c r="H104" s="678"/>
      <c r="I104" s="678"/>
      <c r="J104" s="678"/>
      <c r="K104" s="398">
        <v>78102200</v>
      </c>
      <c r="L104" s="400" t="s">
        <v>247</v>
      </c>
      <c r="M104" s="134">
        <v>44237</v>
      </c>
      <c r="N104" s="134" t="s">
        <v>539</v>
      </c>
      <c r="O104" s="157" t="s">
        <v>324</v>
      </c>
      <c r="P104" s="157" t="s">
        <v>318</v>
      </c>
      <c r="Q104" s="434"/>
      <c r="R104" s="101">
        <v>10000000</v>
      </c>
      <c r="S104" s="453" t="s">
        <v>386</v>
      </c>
      <c r="T104" s="399"/>
      <c r="U104" s="253" t="s">
        <v>271</v>
      </c>
      <c r="V104" s="497"/>
      <c r="W104" s="497"/>
      <c r="X104" s="498"/>
      <c r="Y104" s="498"/>
      <c r="Z104" s="498"/>
      <c r="AA104" s="498">
        <v>5000000</v>
      </c>
      <c r="AB104" s="498"/>
      <c r="AC104" s="498"/>
      <c r="AD104" s="498"/>
      <c r="AE104" s="498"/>
      <c r="AF104" s="498"/>
      <c r="AG104" s="498">
        <v>5000000</v>
      </c>
      <c r="AH104" s="501">
        <f t="shared" si="51"/>
        <v>10000000</v>
      </c>
      <c r="AI104" s="535">
        <v>20021</v>
      </c>
      <c r="AJ104" s="538">
        <v>44252</v>
      </c>
      <c r="AK104" s="536">
        <v>10000000</v>
      </c>
      <c r="AL104" s="536">
        <v>10000000</v>
      </c>
      <c r="AM104" s="536">
        <v>10000000</v>
      </c>
      <c r="AN104" s="532">
        <f>+R104-AL104</f>
        <v>0</v>
      </c>
      <c r="AO104" s="532">
        <f>+AL104-AM104</f>
        <v>0</v>
      </c>
      <c r="AP104" s="533">
        <f>R104-AL104+AO104</f>
        <v>0</v>
      </c>
      <c r="AR104" s="285"/>
      <c r="AS104" s="285"/>
      <c r="AT104" s="285"/>
      <c r="AU104" s="285"/>
      <c r="AV104" s="285"/>
      <c r="AW104" s="285"/>
      <c r="AX104" s="285"/>
      <c r="AY104" s="285"/>
      <c r="AZ104" s="285"/>
      <c r="BA104" s="285"/>
      <c r="BB104" s="285"/>
      <c r="BC104" s="285"/>
      <c r="BD104" s="285"/>
      <c r="BE104" s="285"/>
      <c r="BF104" s="285"/>
      <c r="BG104" s="285"/>
      <c r="BH104" s="285"/>
      <c r="BI104" s="285"/>
      <c r="BJ104" s="285"/>
      <c r="BK104" s="285"/>
      <c r="BL104" s="285"/>
      <c r="BM104" s="285"/>
      <c r="BN104" s="285"/>
      <c r="BO104" s="285"/>
      <c r="BP104" s="285"/>
      <c r="BQ104" s="285"/>
      <c r="BR104" s="285"/>
      <c r="BS104" s="285"/>
      <c r="BT104" s="285"/>
      <c r="BU104" s="285"/>
      <c r="BV104" s="285"/>
    </row>
    <row r="105" spans="2:74" ht="15" customHeight="1" x14ac:dyDescent="0.2">
      <c r="B105" s="682"/>
      <c r="C105" s="683"/>
      <c r="D105" s="683"/>
      <c r="E105" s="683"/>
      <c r="F105" s="683"/>
      <c r="G105" s="683"/>
      <c r="H105" s="683"/>
      <c r="I105" s="683"/>
      <c r="J105" s="683"/>
      <c r="K105" s="113"/>
      <c r="L105" s="406" t="s">
        <v>249</v>
      </c>
      <c r="M105" s="137"/>
      <c r="N105" s="137"/>
      <c r="O105" s="160"/>
      <c r="P105" s="160"/>
      <c r="Q105" s="434"/>
      <c r="R105" s="115">
        <v>3000000</v>
      </c>
      <c r="S105" s="187"/>
      <c r="T105" s="116"/>
      <c r="U105" s="256" t="s">
        <v>355</v>
      </c>
      <c r="V105" s="497"/>
      <c r="W105" s="497">
        <v>273000</v>
      </c>
      <c r="X105" s="497">
        <v>273000</v>
      </c>
      <c r="Y105" s="497">
        <v>273000</v>
      </c>
      <c r="Z105" s="497">
        <v>273000</v>
      </c>
      <c r="AA105" s="497">
        <v>273000</v>
      </c>
      <c r="AB105" s="497">
        <v>273000</v>
      </c>
      <c r="AC105" s="497">
        <v>273000</v>
      </c>
      <c r="AD105" s="497">
        <v>273000</v>
      </c>
      <c r="AE105" s="497">
        <v>273000</v>
      </c>
      <c r="AF105" s="497">
        <v>273000</v>
      </c>
      <c r="AG105" s="497">
        <v>270000</v>
      </c>
      <c r="AH105" s="501">
        <f t="shared" si="51"/>
        <v>3000000</v>
      </c>
      <c r="AI105" s="535"/>
      <c r="AJ105" s="535"/>
      <c r="AK105" s="536"/>
      <c r="AL105" s="536"/>
      <c r="AM105" s="536"/>
      <c r="AR105" s="285"/>
      <c r="AS105" s="285"/>
      <c r="AT105" s="285"/>
      <c r="AU105" s="285"/>
      <c r="AV105" s="285"/>
      <c r="AW105" s="285"/>
      <c r="AX105" s="285"/>
      <c r="AY105" s="285"/>
      <c r="AZ105" s="285"/>
      <c r="BA105" s="285"/>
      <c r="BB105" s="285"/>
      <c r="BC105" s="285"/>
      <c r="BD105" s="285"/>
      <c r="BE105" s="285"/>
      <c r="BF105" s="285"/>
      <c r="BG105" s="285"/>
      <c r="BH105" s="285"/>
      <c r="BI105" s="285"/>
      <c r="BJ105" s="285"/>
      <c r="BK105" s="285"/>
      <c r="BL105" s="285"/>
      <c r="BM105" s="285"/>
      <c r="BN105" s="285"/>
      <c r="BO105" s="285"/>
      <c r="BP105" s="285"/>
      <c r="BQ105" s="285"/>
      <c r="BR105" s="285"/>
      <c r="BS105" s="285"/>
      <c r="BT105" s="285"/>
      <c r="BU105" s="285"/>
      <c r="BV105" s="285"/>
    </row>
    <row r="106" spans="2:74" ht="30" customHeight="1" x14ac:dyDescent="0.2">
      <c r="B106" s="91" t="s">
        <v>7</v>
      </c>
      <c r="C106" s="92" t="s">
        <v>20</v>
      </c>
      <c r="D106" s="92" t="s">
        <v>20</v>
      </c>
      <c r="E106" s="92" t="s">
        <v>20</v>
      </c>
      <c r="F106" s="92" t="s">
        <v>14</v>
      </c>
      <c r="G106" s="92" t="s">
        <v>17</v>
      </c>
      <c r="H106" s="92"/>
      <c r="I106" s="92"/>
      <c r="J106" s="196"/>
      <c r="K106" s="91"/>
      <c r="L106" s="412" t="s">
        <v>84</v>
      </c>
      <c r="M106" s="132"/>
      <c r="N106" s="132"/>
      <c r="O106" s="155"/>
      <c r="P106" s="155"/>
      <c r="Q106" s="434">
        <f>SUM(Q107:Q107)</f>
        <v>437000000</v>
      </c>
      <c r="R106" s="94">
        <f>SUM(R107:R107)</f>
        <v>717820000</v>
      </c>
      <c r="S106" s="92"/>
      <c r="T106" s="95"/>
      <c r="U106" s="244"/>
      <c r="V106" s="497">
        <f>SUM(V107:V107)</f>
        <v>33000000</v>
      </c>
      <c r="W106" s="497">
        <f>SUM(W107:W107)</f>
        <v>31000000</v>
      </c>
      <c r="X106" s="498">
        <f>SUM(X107:X107)</f>
        <v>131000000</v>
      </c>
      <c r="Y106" s="498">
        <f>SUM(Y107:Y107)</f>
        <v>146820000</v>
      </c>
      <c r="Z106" s="498">
        <f>SUM(Z107:Z107)</f>
        <v>31000000</v>
      </c>
      <c r="AA106" s="498">
        <f t="shared" ref="AA106:AG106" si="72">SUM(AA107:AA107)</f>
        <v>31000000</v>
      </c>
      <c r="AB106" s="498">
        <f t="shared" si="72"/>
        <v>31000000</v>
      </c>
      <c r="AC106" s="498">
        <f t="shared" si="72"/>
        <v>31000000</v>
      </c>
      <c r="AD106" s="498">
        <f t="shared" si="72"/>
        <v>31000000</v>
      </c>
      <c r="AE106" s="498">
        <f t="shared" si="72"/>
        <v>31000000</v>
      </c>
      <c r="AF106" s="498">
        <f t="shared" si="72"/>
        <v>31000000</v>
      </c>
      <c r="AG106" s="498">
        <f t="shared" si="72"/>
        <v>31000000</v>
      </c>
      <c r="AH106" s="501">
        <f t="shared" si="51"/>
        <v>589820000</v>
      </c>
      <c r="AI106" s="535"/>
      <c r="AJ106" s="535"/>
      <c r="AK106" s="536"/>
      <c r="AL106" s="536"/>
      <c r="AM106" s="536"/>
      <c r="AR106" s="285"/>
      <c r="AS106" s="285"/>
      <c r="AT106" s="285"/>
      <c r="AU106" s="285"/>
      <c r="AV106" s="285"/>
      <c r="AW106" s="285"/>
      <c r="AX106" s="285"/>
      <c r="AY106" s="285"/>
      <c r="AZ106" s="285"/>
      <c r="BA106" s="285"/>
      <c r="BB106" s="285"/>
      <c r="BC106" s="285"/>
      <c r="BD106" s="285"/>
      <c r="BE106" s="285"/>
      <c r="BF106" s="285"/>
      <c r="BG106" s="285"/>
      <c r="BH106" s="285"/>
      <c r="BI106" s="285"/>
      <c r="BJ106" s="285"/>
      <c r="BK106" s="285"/>
      <c r="BL106" s="285"/>
      <c r="BM106" s="285"/>
      <c r="BN106" s="285"/>
      <c r="BO106" s="285"/>
      <c r="BP106" s="285"/>
      <c r="BQ106" s="285"/>
      <c r="BR106" s="285"/>
      <c r="BS106" s="285"/>
      <c r="BT106" s="285"/>
      <c r="BU106" s="285"/>
      <c r="BV106" s="285"/>
    </row>
    <row r="107" spans="2:74" ht="30" customHeight="1" x14ac:dyDescent="0.2">
      <c r="B107" s="397" t="s">
        <v>7</v>
      </c>
      <c r="C107" s="395" t="s">
        <v>20</v>
      </c>
      <c r="D107" s="395" t="s">
        <v>20</v>
      </c>
      <c r="E107" s="395" t="s">
        <v>20</v>
      </c>
      <c r="F107" s="395" t="s">
        <v>14</v>
      </c>
      <c r="G107" s="395" t="s">
        <v>17</v>
      </c>
      <c r="H107" s="395" t="s">
        <v>8</v>
      </c>
      <c r="I107" s="395"/>
      <c r="J107" s="405"/>
      <c r="K107" s="397"/>
      <c r="L107" s="404" t="s">
        <v>85</v>
      </c>
      <c r="M107" s="133"/>
      <c r="N107" s="133"/>
      <c r="O107" s="156"/>
      <c r="P107" s="156"/>
      <c r="Q107" s="434">
        <f>237000000+200000000</f>
        <v>437000000</v>
      </c>
      <c r="R107" s="5">
        <f>SUM(R108:R109)</f>
        <v>717820000</v>
      </c>
      <c r="S107" s="181"/>
      <c r="T107" s="396"/>
      <c r="U107" s="245"/>
      <c r="V107" s="497">
        <f>SUM(V108:V109)</f>
        <v>33000000</v>
      </c>
      <c r="W107" s="497">
        <f>SUM(W108:W109)</f>
        <v>31000000</v>
      </c>
      <c r="X107" s="498">
        <f>SUM(X108:X109)</f>
        <v>131000000</v>
      </c>
      <c r="Y107" s="498">
        <f>SUM(Y108:Y109)</f>
        <v>146820000</v>
      </c>
      <c r="Z107" s="498">
        <f>SUM(Z108:Z109)</f>
        <v>31000000</v>
      </c>
      <c r="AA107" s="498">
        <f t="shared" ref="AA107:AF107" si="73">SUM(AA108:AA109)</f>
        <v>31000000</v>
      </c>
      <c r="AB107" s="498">
        <f t="shared" si="73"/>
        <v>31000000</v>
      </c>
      <c r="AC107" s="498">
        <f t="shared" si="73"/>
        <v>31000000</v>
      </c>
      <c r="AD107" s="498">
        <f t="shared" si="73"/>
        <v>31000000</v>
      </c>
      <c r="AE107" s="498">
        <f t="shared" si="73"/>
        <v>31000000</v>
      </c>
      <c r="AF107" s="498">
        <f t="shared" si="73"/>
        <v>31000000</v>
      </c>
      <c r="AG107" s="498">
        <f t="shared" ref="AG107" si="74">SUM(AG108:AG109)</f>
        <v>31000000</v>
      </c>
      <c r="AH107" s="501">
        <f t="shared" si="51"/>
        <v>589820000</v>
      </c>
      <c r="AI107" s="535"/>
      <c r="AJ107" s="535"/>
      <c r="AK107" s="536"/>
      <c r="AL107" s="536"/>
      <c r="AM107" s="536"/>
      <c r="AR107" s="285"/>
      <c r="AS107" s="285"/>
      <c r="AT107" s="285"/>
      <c r="AU107" s="285"/>
      <c r="AV107" s="285"/>
      <c r="AW107" s="285"/>
      <c r="AX107" s="285"/>
      <c r="AY107" s="285"/>
      <c r="AZ107" s="285"/>
      <c r="BA107" s="285"/>
      <c r="BB107" s="285"/>
      <c r="BC107" s="285"/>
      <c r="BD107" s="285"/>
      <c r="BE107" s="285"/>
      <c r="BF107" s="285"/>
      <c r="BG107" s="285"/>
      <c r="BH107" s="285"/>
      <c r="BI107" s="285"/>
      <c r="BJ107" s="285"/>
      <c r="BK107" s="285"/>
      <c r="BL107" s="285"/>
      <c r="BM107" s="285"/>
      <c r="BN107" s="285"/>
      <c r="BO107" s="285"/>
      <c r="BP107" s="285"/>
      <c r="BQ107" s="285"/>
      <c r="BR107" s="285"/>
      <c r="BS107" s="285"/>
      <c r="BT107" s="285"/>
      <c r="BU107" s="285"/>
      <c r="BV107" s="285"/>
    </row>
    <row r="108" spans="2:74" ht="15" customHeight="1" x14ac:dyDescent="0.2">
      <c r="B108" s="677"/>
      <c r="C108" s="678"/>
      <c r="D108" s="678"/>
      <c r="E108" s="678"/>
      <c r="F108" s="678"/>
      <c r="G108" s="678"/>
      <c r="H108" s="678"/>
      <c r="I108" s="678"/>
      <c r="J108" s="678"/>
      <c r="K108" s="398">
        <v>83101800</v>
      </c>
      <c r="L108" s="400" t="s">
        <v>250</v>
      </c>
      <c r="M108" s="134">
        <v>44198</v>
      </c>
      <c r="N108" s="134" t="s">
        <v>540</v>
      </c>
      <c r="O108" s="157" t="s">
        <v>548</v>
      </c>
      <c r="P108" s="134" t="s">
        <v>375</v>
      </c>
      <c r="Q108" s="434"/>
      <c r="R108" s="101">
        <f>178000000+88000000+274820000-59000000+128000000</f>
        <v>609820000</v>
      </c>
      <c r="S108" s="402" t="s">
        <v>350</v>
      </c>
      <c r="T108" s="399"/>
      <c r="U108" s="253" t="s">
        <v>271</v>
      </c>
      <c r="V108" s="497">
        <v>24000000</v>
      </c>
      <c r="W108" s="497">
        <v>22000000</v>
      </c>
      <c r="X108" s="498">
        <f>22000000+100000000</f>
        <v>122000000</v>
      </c>
      <c r="Y108" s="498">
        <f>22000000+115820000</f>
        <v>137820000</v>
      </c>
      <c r="Z108" s="498">
        <v>22000000</v>
      </c>
      <c r="AA108" s="498">
        <v>22000000</v>
      </c>
      <c r="AB108" s="498">
        <v>22000000</v>
      </c>
      <c r="AC108" s="498">
        <v>22000000</v>
      </c>
      <c r="AD108" s="498">
        <v>22000000</v>
      </c>
      <c r="AE108" s="498">
        <v>22000000</v>
      </c>
      <c r="AF108" s="498">
        <v>22000000</v>
      </c>
      <c r="AG108" s="498">
        <v>22000000</v>
      </c>
      <c r="AH108" s="501">
        <f t="shared" si="51"/>
        <v>481820000</v>
      </c>
      <c r="AI108" s="728"/>
      <c r="AJ108" s="729"/>
      <c r="AK108" s="711">
        <v>594482378</v>
      </c>
      <c r="AL108" s="711">
        <v>594482378</v>
      </c>
      <c r="AM108" s="711">
        <v>577679186</v>
      </c>
      <c r="AN108" s="730">
        <f>(R108+R109)-AL108</f>
        <v>123337622</v>
      </c>
      <c r="AO108" s="730">
        <f>+AL108-AM108</f>
        <v>16803192</v>
      </c>
      <c r="AP108" s="732">
        <f>(R108+R109)-AL108+AO108</f>
        <v>140140814</v>
      </c>
      <c r="AR108" s="285"/>
      <c r="AS108" s="285"/>
      <c r="AT108" s="285"/>
      <c r="AU108" s="285"/>
      <c r="AV108" s="285"/>
      <c r="AW108" s="285"/>
      <c r="AX108" s="285"/>
      <c r="AY108" s="285"/>
      <c r="AZ108" s="285"/>
      <c r="BA108" s="285"/>
      <c r="BB108" s="285"/>
      <c r="BC108" s="285"/>
      <c r="BD108" s="285"/>
      <c r="BE108" s="285"/>
      <c r="BF108" s="285"/>
      <c r="BG108" s="285"/>
      <c r="BH108" s="285"/>
      <c r="BI108" s="285"/>
      <c r="BJ108" s="285"/>
      <c r="BK108" s="285"/>
      <c r="BL108" s="285"/>
      <c r="BM108" s="285"/>
      <c r="BN108" s="285"/>
      <c r="BO108" s="285"/>
      <c r="BP108" s="285"/>
      <c r="BQ108" s="285"/>
      <c r="BR108" s="285"/>
      <c r="BS108" s="285"/>
      <c r="BT108" s="285"/>
      <c r="BU108" s="285"/>
      <c r="BV108" s="285"/>
    </row>
    <row r="109" spans="2:74" ht="15" customHeight="1" x14ac:dyDescent="0.2">
      <c r="B109" s="682"/>
      <c r="C109" s="683"/>
      <c r="D109" s="683"/>
      <c r="E109" s="683"/>
      <c r="F109" s="683"/>
      <c r="G109" s="683"/>
      <c r="H109" s="683"/>
      <c r="I109" s="683"/>
      <c r="J109" s="683"/>
      <c r="K109" s="398">
        <v>83101600</v>
      </c>
      <c r="L109" s="400" t="s">
        <v>251</v>
      </c>
      <c r="M109" s="134">
        <v>44198</v>
      </c>
      <c r="N109" s="134" t="s">
        <v>540</v>
      </c>
      <c r="O109" s="157" t="s">
        <v>548</v>
      </c>
      <c r="P109" s="134" t="s">
        <v>375</v>
      </c>
      <c r="Q109" s="434"/>
      <c r="R109" s="101">
        <v>108000000</v>
      </c>
      <c r="S109" s="402" t="s">
        <v>350</v>
      </c>
      <c r="T109" s="399"/>
      <c r="U109" s="253" t="s">
        <v>271</v>
      </c>
      <c r="V109" s="497">
        <v>9000000</v>
      </c>
      <c r="W109" s="497">
        <v>9000000</v>
      </c>
      <c r="X109" s="499">
        <v>9000000</v>
      </c>
      <c r="Y109" s="499">
        <v>9000000</v>
      </c>
      <c r="Z109" s="499">
        <v>9000000</v>
      </c>
      <c r="AA109" s="499">
        <v>9000000</v>
      </c>
      <c r="AB109" s="499">
        <v>9000000</v>
      </c>
      <c r="AC109" s="499">
        <v>9000000</v>
      </c>
      <c r="AD109" s="499">
        <v>9000000</v>
      </c>
      <c r="AE109" s="499">
        <v>9000000</v>
      </c>
      <c r="AF109" s="499">
        <v>9000000</v>
      </c>
      <c r="AG109" s="499">
        <v>9000000</v>
      </c>
      <c r="AH109" s="501">
        <f t="shared" si="51"/>
        <v>108000000</v>
      </c>
      <c r="AI109" s="728"/>
      <c r="AJ109" s="729"/>
      <c r="AK109" s="711"/>
      <c r="AL109" s="711"/>
      <c r="AM109" s="711"/>
      <c r="AN109" s="731"/>
      <c r="AO109" s="731"/>
      <c r="AP109" s="733"/>
      <c r="AR109" s="285"/>
      <c r="AS109" s="285"/>
      <c r="AT109" s="285"/>
      <c r="AU109" s="285"/>
      <c r="AV109" s="285"/>
      <c r="AW109" s="285"/>
      <c r="AX109" s="285"/>
      <c r="AY109" s="285"/>
      <c r="AZ109" s="285"/>
      <c r="BA109" s="285"/>
      <c r="BB109" s="285"/>
      <c r="BC109" s="285"/>
      <c r="BD109" s="285"/>
      <c r="BE109" s="285"/>
      <c r="BF109" s="285"/>
      <c r="BG109" s="285"/>
      <c r="BH109" s="285"/>
      <c r="BI109" s="285"/>
      <c r="BJ109" s="285"/>
      <c r="BK109" s="285"/>
      <c r="BL109" s="285"/>
      <c r="BM109" s="285"/>
      <c r="BN109" s="285"/>
      <c r="BO109" s="285"/>
      <c r="BP109" s="285"/>
      <c r="BQ109" s="285"/>
      <c r="BR109" s="285"/>
      <c r="BS109" s="285"/>
      <c r="BT109" s="285"/>
      <c r="BU109" s="285"/>
      <c r="BV109" s="285"/>
    </row>
    <row r="110" spans="2:74" ht="30" customHeight="1" x14ac:dyDescent="0.2">
      <c r="B110" s="13" t="s">
        <v>7</v>
      </c>
      <c r="C110" s="14" t="s">
        <v>20</v>
      </c>
      <c r="D110" s="14" t="s">
        <v>20</v>
      </c>
      <c r="E110" s="14" t="s">
        <v>20</v>
      </c>
      <c r="F110" s="14" t="s">
        <v>15</v>
      </c>
      <c r="G110" s="14"/>
      <c r="H110" s="14"/>
      <c r="I110" s="14"/>
      <c r="J110" s="195"/>
      <c r="K110" s="13">
        <v>83101600</v>
      </c>
      <c r="L110" s="411" t="s">
        <v>86</v>
      </c>
      <c r="M110" s="131"/>
      <c r="N110" s="131"/>
      <c r="O110" s="154"/>
      <c r="P110" s="154"/>
      <c r="Q110" s="434">
        <f t="shared" ref="Q110:R112" si="75">+Q111</f>
        <v>1862000000</v>
      </c>
      <c r="R110" s="16">
        <f t="shared" si="75"/>
        <v>1862000000</v>
      </c>
      <c r="S110" s="14"/>
      <c r="T110" s="17"/>
      <c r="U110" s="252"/>
      <c r="V110" s="497">
        <f t="shared" ref="V110:AG112" si="76">+V111</f>
        <v>0</v>
      </c>
      <c r="W110" s="497">
        <f t="shared" si="76"/>
        <v>0</v>
      </c>
      <c r="X110" s="498">
        <f t="shared" si="76"/>
        <v>0</v>
      </c>
      <c r="Y110" s="498">
        <f t="shared" si="76"/>
        <v>1852000000</v>
      </c>
      <c r="Z110" s="498">
        <f t="shared" si="76"/>
        <v>0</v>
      </c>
      <c r="AA110" s="498">
        <f t="shared" si="76"/>
        <v>0</v>
      </c>
      <c r="AB110" s="498">
        <f t="shared" si="76"/>
        <v>0</v>
      </c>
      <c r="AC110" s="498">
        <f t="shared" si="76"/>
        <v>0</v>
      </c>
      <c r="AD110" s="498">
        <f t="shared" si="76"/>
        <v>0</v>
      </c>
      <c r="AE110" s="498">
        <f t="shared" si="76"/>
        <v>0</v>
      </c>
      <c r="AF110" s="498">
        <f t="shared" si="76"/>
        <v>10000000</v>
      </c>
      <c r="AG110" s="498">
        <f t="shared" si="76"/>
        <v>0</v>
      </c>
      <c r="AH110" s="501">
        <f t="shared" si="51"/>
        <v>1862000000</v>
      </c>
      <c r="AI110" s="535"/>
      <c r="AJ110" s="535"/>
      <c r="AK110" s="536"/>
      <c r="AL110" s="536"/>
      <c r="AM110" s="536"/>
      <c r="AR110" s="285"/>
      <c r="AS110" s="285"/>
      <c r="AT110" s="285"/>
      <c r="AU110" s="285"/>
      <c r="AV110" s="285"/>
      <c r="AW110" s="285"/>
      <c r="AX110" s="285"/>
      <c r="AY110" s="285"/>
      <c r="AZ110" s="285"/>
      <c r="BA110" s="285"/>
      <c r="BB110" s="285"/>
      <c r="BC110" s="285"/>
      <c r="BD110" s="285"/>
      <c r="BE110" s="285"/>
      <c r="BF110" s="285"/>
      <c r="BG110" s="285"/>
      <c r="BH110" s="285"/>
      <c r="BI110" s="285"/>
      <c r="BJ110" s="285"/>
      <c r="BK110" s="285"/>
      <c r="BL110" s="285"/>
      <c r="BM110" s="285"/>
      <c r="BN110" s="285"/>
      <c r="BO110" s="285"/>
      <c r="BP110" s="285"/>
      <c r="BQ110" s="285"/>
      <c r="BR110" s="285"/>
      <c r="BS110" s="285"/>
      <c r="BT110" s="285"/>
      <c r="BU110" s="285"/>
      <c r="BV110" s="285"/>
    </row>
    <row r="111" spans="2:74" ht="15" customHeight="1" x14ac:dyDescent="0.2">
      <c r="B111" s="91" t="s">
        <v>7</v>
      </c>
      <c r="C111" s="92" t="s">
        <v>20</v>
      </c>
      <c r="D111" s="92" t="s">
        <v>20</v>
      </c>
      <c r="E111" s="92" t="s">
        <v>20</v>
      </c>
      <c r="F111" s="92" t="s">
        <v>15</v>
      </c>
      <c r="G111" s="92" t="s">
        <v>9</v>
      </c>
      <c r="H111" s="92"/>
      <c r="I111" s="92"/>
      <c r="J111" s="196"/>
      <c r="K111" s="91"/>
      <c r="L111" s="412" t="s">
        <v>139</v>
      </c>
      <c r="M111" s="132"/>
      <c r="N111" s="132"/>
      <c r="O111" s="155"/>
      <c r="P111" s="155"/>
      <c r="Q111" s="434">
        <f t="shared" si="75"/>
        <v>1862000000</v>
      </c>
      <c r="R111" s="94">
        <f t="shared" si="75"/>
        <v>1862000000</v>
      </c>
      <c r="S111" s="92"/>
      <c r="T111" s="95"/>
      <c r="U111" s="244"/>
      <c r="V111" s="497">
        <f t="shared" si="76"/>
        <v>0</v>
      </c>
      <c r="W111" s="497">
        <f t="shared" si="76"/>
        <v>0</v>
      </c>
      <c r="X111" s="498">
        <f t="shared" si="76"/>
        <v>0</v>
      </c>
      <c r="Y111" s="498">
        <f t="shared" si="76"/>
        <v>1852000000</v>
      </c>
      <c r="Z111" s="498">
        <f t="shared" si="76"/>
        <v>0</v>
      </c>
      <c r="AA111" s="498">
        <f t="shared" si="76"/>
        <v>0</v>
      </c>
      <c r="AB111" s="498">
        <f t="shared" si="76"/>
        <v>0</v>
      </c>
      <c r="AC111" s="498">
        <f t="shared" si="76"/>
        <v>0</v>
      </c>
      <c r="AD111" s="498">
        <f t="shared" si="76"/>
        <v>0</v>
      </c>
      <c r="AE111" s="498">
        <f t="shared" si="76"/>
        <v>0</v>
      </c>
      <c r="AF111" s="498">
        <f t="shared" si="76"/>
        <v>10000000</v>
      </c>
      <c r="AG111" s="498">
        <f t="shared" si="76"/>
        <v>0</v>
      </c>
      <c r="AH111" s="501">
        <f t="shared" si="51"/>
        <v>1862000000</v>
      </c>
      <c r="AI111" s="535"/>
      <c r="AJ111" s="535"/>
      <c r="AK111" s="536"/>
      <c r="AL111" s="536"/>
      <c r="AM111" s="536"/>
      <c r="AR111" s="285"/>
      <c r="AS111" s="285"/>
      <c r="AT111" s="285"/>
      <c r="AU111" s="285"/>
      <c r="AV111" s="285"/>
      <c r="AW111" s="285"/>
      <c r="AX111" s="285"/>
      <c r="AY111" s="285"/>
      <c r="AZ111" s="285"/>
      <c r="BA111" s="285"/>
      <c r="BB111" s="285"/>
      <c r="BC111" s="285"/>
      <c r="BD111" s="285"/>
      <c r="BE111" s="285"/>
      <c r="BF111" s="285"/>
      <c r="BG111" s="285"/>
      <c r="BH111" s="285"/>
      <c r="BI111" s="285"/>
      <c r="BJ111" s="285"/>
      <c r="BK111" s="285"/>
      <c r="BL111" s="285"/>
      <c r="BM111" s="285"/>
      <c r="BN111" s="285"/>
      <c r="BO111" s="285"/>
      <c r="BP111" s="285"/>
      <c r="BQ111" s="285"/>
      <c r="BR111" s="285"/>
      <c r="BS111" s="285"/>
      <c r="BT111" s="285"/>
      <c r="BU111" s="285"/>
      <c r="BV111" s="285"/>
    </row>
    <row r="112" spans="2:74" ht="30" customHeight="1" x14ac:dyDescent="0.2">
      <c r="B112" s="397" t="s">
        <v>7</v>
      </c>
      <c r="C112" s="395" t="s">
        <v>20</v>
      </c>
      <c r="D112" s="395" t="s">
        <v>20</v>
      </c>
      <c r="E112" s="395" t="s">
        <v>20</v>
      </c>
      <c r="F112" s="395" t="s">
        <v>15</v>
      </c>
      <c r="G112" s="395" t="s">
        <v>9</v>
      </c>
      <c r="H112" s="395" t="s">
        <v>23</v>
      </c>
      <c r="I112" s="395"/>
      <c r="J112" s="405"/>
      <c r="K112" s="397"/>
      <c r="L112" s="404" t="s">
        <v>87</v>
      </c>
      <c r="M112" s="133"/>
      <c r="N112" s="133"/>
      <c r="O112" s="156"/>
      <c r="P112" s="156"/>
      <c r="Q112" s="434">
        <f t="shared" si="75"/>
        <v>1862000000</v>
      </c>
      <c r="R112" s="5">
        <f t="shared" si="75"/>
        <v>1862000000</v>
      </c>
      <c r="S112" s="181"/>
      <c r="T112" s="396"/>
      <c r="U112" s="245"/>
      <c r="V112" s="497">
        <f t="shared" si="76"/>
        <v>0</v>
      </c>
      <c r="W112" s="497">
        <f t="shared" si="76"/>
        <v>0</v>
      </c>
      <c r="X112" s="498">
        <f t="shared" si="76"/>
        <v>0</v>
      </c>
      <c r="Y112" s="498">
        <f t="shared" si="76"/>
        <v>1852000000</v>
      </c>
      <c r="Z112" s="498">
        <f t="shared" si="76"/>
        <v>0</v>
      </c>
      <c r="AA112" s="498">
        <f t="shared" si="76"/>
        <v>0</v>
      </c>
      <c r="AB112" s="498">
        <f t="shared" si="76"/>
        <v>0</v>
      </c>
      <c r="AC112" s="498">
        <f t="shared" si="76"/>
        <v>0</v>
      </c>
      <c r="AD112" s="498">
        <f t="shared" si="76"/>
        <v>0</v>
      </c>
      <c r="AE112" s="498">
        <f t="shared" si="76"/>
        <v>0</v>
      </c>
      <c r="AF112" s="498">
        <f t="shared" si="76"/>
        <v>10000000</v>
      </c>
      <c r="AG112" s="498">
        <f t="shared" si="76"/>
        <v>0</v>
      </c>
      <c r="AH112" s="501">
        <f t="shared" si="51"/>
        <v>1862000000</v>
      </c>
      <c r="AI112" s="535"/>
      <c r="AJ112" s="535"/>
      <c r="AK112" s="536"/>
      <c r="AL112" s="536"/>
      <c r="AM112" s="536"/>
      <c r="AR112" s="285"/>
      <c r="AS112" s="285"/>
      <c r="AT112" s="285"/>
      <c r="AU112" s="285"/>
      <c r="AV112" s="285"/>
      <c r="AW112" s="285"/>
      <c r="AX112" s="285"/>
      <c r="AY112" s="285"/>
      <c r="AZ112" s="285"/>
      <c r="BA112" s="285"/>
      <c r="BB112" s="285"/>
      <c r="BC112" s="285"/>
      <c r="BD112" s="285"/>
      <c r="BE112" s="285"/>
      <c r="BF112" s="285"/>
      <c r="BG112" s="285"/>
      <c r="BH112" s="285"/>
      <c r="BI112" s="285"/>
      <c r="BJ112" s="285"/>
      <c r="BK112" s="285"/>
      <c r="BL112" s="285"/>
      <c r="BM112" s="285"/>
      <c r="BN112" s="285"/>
      <c r="BO112" s="285"/>
      <c r="BP112" s="285"/>
      <c r="BQ112" s="285"/>
      <c r="BR112" s="285"/>
      <c r="BS112" s="285"/>
      <c r="BT112" s="285"/>
      <c r="BU112" s="285"/>
      <c r="BV112" s="285"/>
    </row>
    <row r="113" spans="2:74" ht="30" customHeight="1" x14ac:dyDescent="0.2">
      <c r="B113" s="397" t="s">
        <v>7</v>
      </c>
      <c r="C113" s="395" t="s">
        <v>20</v>
      </c>
      <c r="D113" s="395" t="s">
        <v>20</v>
      </c>
      <c r="E113" s="395" t="s">
        <v>20</v>
      </c>
      <c r="F113" s="395" t="s">
        <v>15</v>
      </c>
      <c r="G113" s="395" t="s">
        <v>9</v>
      </c>
      <c r="H113" s="395" t="s">
        <v>23</v>
      </c>
      <c r="I113" s="395" t="s">
        <v>34</v>
      </c>
      <c r="J113" s="405"/>
      <c r="K113" s="397"/>
      <c r="L113" s="404" t="s">
        <v>88</v>
      </c>
      <c r="M113" s="133"/>
      <c r="N113" s="133"/>
      <c r="O113" s="156"/>
      <c r="P113" s="156"/>
      <c r="Q113" s="434">
        <f>+Q114+Q116</f>
        <v>1862000000</v>
      </c>
      <c r="R113" s="5">
        <f>+R114+R116</f>
        <v>1862000000</v>
      </c>
      <c r="S113" s="181"/>
      <c r="T113" s="396"/>
      <c r="U113" s="245"/>
      <c r="V113" s="497">
        <f>+V114+V116</f>
        <v>0</v>
      </c>
      <c r="W113" s="497">
        <f>+W114+W116</f>
        <v>0</v>
      </c>
      <c r="X113" s="498">
        <f>+X114+X116</f>
        <v>0</v>
      </c>
      <c r="Y113" s="498">
        <f>+Y114+Y116</f>
        <v>1852000000</v>
      </c>
      <c r="Z113" s="498">
        <f>+Z114+Z116</f>
        <v>0</v>
      </c>
      <c r="AA113" s="498">
        <f t="shared" ref="AA113:AF113" si="77">+AA114+AA116</f>
        <v>0</v>
      </c>
      <c r="AB113" s="498">
        <f t="shared" si="77"/>
        <v>0</v>
      </c>
      <c r="AC113" s="498">
        <f t="shared" si="77"/>
        <v>0</v>
      </c>
      <c r="AD113" s="498">
        <f t="shared" si="77"/>
        <v>0</v>
      </c>
      <c r="AE113" s="498">
        <f t="shared" si="77"/>
        <v>0</v>
      </c>
      <c r="AF113" s="498">
        <f t="shared" si="77"/>
        <v>10000000</v>
      </c>
      <c r="AG113" s="498">
        <f t="shared" ref="AG113" si="78">+AG114+AG116</f>
        <v>0</v>
      </c>
      <c r="AH113" s="501">
        <f t="shared" si="51"/>
        <v>1862000000</v>
      </c>
      <c r="AI113" s="535"/>
      <c r="AJ113" s="535"/>
      <c r="AK113" s="536"/>
      <c r="AL113" s="536"/>
      <c r="AM113" s="536"/>
      <c r="AR113" s="285"/>
      <c r="AS113" s="285"/>
      <c r="AT113" s="285"/>
      <c r="AU113" s="285"/>
      <c r="AV113" s="285"/>
      <c r="AW113" s="285"/>
      <c r="AX113" s="285"/>
      <c r="AY113" s="285"/>
      <c r="AZ113" s="285"/>
      <c r="BA113" s="285"/>
      <c r="BB113" s="285"/>
      <c r="BC113" s="285"/>
      <c r="BD113" s="285"/>
      <c r="BE113" s="285"/>
      <c r="BF113" s="285"/>
      <c r="BG113" s="285"/>
      <c r="BH113" s="285"/>
      <c r="BI113" s="285"/>
      <c r="BJ113" s="285"/>
      <c r="BK113" s="285"/>
      <c r="BL113" s="285"/>
      <c r="BM113" s="285"/>
      <c r="BN113" s="285"/>
      <c r="BO113" s="285"/>
      <c r="BP113" s="285"/>
      <c r="BQ113" s="285"/>
      <c r="BR113" s="285"/>
      <c r="BS113" s="285"/>
      <c r="BT113" s="285"/>
      <c r="BU113" s="285"/>
      <c r="BV113" s="285"/>
    </row>
    <row r="114" spans="2:74" ht="17.649999999999999" customHeight="1" x14ac:dyDescent="0.2">
      <c r="B114" s="397" t="s">
        <v>7</v>
      </c>
      <c r="C114" s="395" t="s">
        <v>20</v>
      </c>
      <c r="D114" s="395" t="s">
        <v>20</v>
      </c>
      <c r="E114" s="395" t="s">
        <v>20</v>
      </c>
      <c r="F114" s="395" t="s">
        <v>15</v>
      </c>
      <c r="G114" s="395" t="s">
        <v>9</v>
      </c>
      <c r="H114" s="395" t="s">
        <v>23</v>
      </c>
      <c r="I114" s="395" t="s">
        <v>34</v>
      </c>
      <c r="J114" s="405" t="s">
        <v>24</v>
      </c>
      <c r="K114" s="397"/>
      <c r="L114" s="404" t="s">
        <v>89</v>
      </c>
      <c r="M114" s="133"/>
      <c r="N114" s="133"/>
      <c r="O114" s="156"/>
      <c r="P114" s="156"/>
      <c r="Q114" s="434">
        <v>1852000000</v>
      </c>
      <c r="R114" s="5">
        <f>SUM(R115:R115)</f>
        <v>1852000000</v>
      </c>
      <c r="S114" s="181"/>
      <c r="T114" s="396"/>
      <c r="U114" s="245"/>
      <c r="V114" s="497">
        <f>SUM(V115:V115)</f>
        <v>0</v>
      </c>
      <c r="W114" s="497">
        <f>SUM(W115:W115)</f>
        <v>0</v>
      </c>
      <c r="X114" s="498">
        <f>SUM(X115:X115)</f>
        <v>0</v>
      </c>
      <c r="Y114" s="498">
        <f>SUM(Y115:Y115)</f>
        <v>1852000000</v>
      </c>
      <c r="Z114" s="498">
        <f>SUM(Z115:Z115)</f>
        <v>0</v>
      </c>
      <c r="AA114" s="498">
        <f t="shared" ref="AA114:AG114" si="79">SUM(AA115:AA115)</f>
        <v>0</v>
      </c>
      <c r="AB114" s="498">
        <f t="shared" si="79"/>
        <v>0</v>
      </c>
      <c r="AC114" s="498">
        <f t="shared" si="79"/>
        <v>0</v>
      </c>
      <c r="AD114" s="498">
        <f t="shared" si="79"/>
        <v>0</v>
      </c>
      <c r="AE114" s="498">
        <f t="shared" si="79"/>
        <v>0</v>
      </c>
      <c r="AF114" s="498">
        <f t="shared" si="79"/>
        <v>0</v>
      </c>
      <c r="AG114" s="498">
        <f t="shared" si="79"/>
        <v>0</v>
      </c>
      <c r="AH114" s="501">
        <f t="shared" si="51"/>
        <v>1852000000</v>
      </c>
      <c r="AI114" s="535"/>
      <c r="AJ114" s="535"/>
      <c r="AK114" s="536"/>
      <c r="AL114" s="536"/>
      <c r="AM114" s="536"/>
      <c r="AR114" s="285"/>
      <c r="AS114" s="285"/>
      <c r="AT114" s="285"/>
      <c r="AU114" s="285"/>
      <c r="AV114" s="285"/>
      <c r="AW114" s="285"/>
      <c r="AX114" s="285"/>
      <c r="AY114" s="285"/>
      <c r="AZ114" s="285"/>
      <c r="BA114" s="285"/>
      <c r="BB114" s="285"/>
      <c r="BC114" s="285"/>
      <c r="BD114" s="285"/>
      <c r="BE114" s="285"/>
      <c r="BF114" s="285"/>
      <c r="BG114" s="285"/>
      <c r="BH114" s="285"/>
      <c r="BI114" s="285"/>
      <c r="BJ114" s="285"/>
      <c r="BK114" s="285"/>
      <c r="BL114" s="285"/>
      <c r="BM114" s="285"/>
      <c r="BN114" s="285"/>
      <c r="BO114" s="285"/>
      <c r="BP114" s="285"/>
      <c r="BQ114" s="285"/>
      <c r="BR114" s="285"/>
      <c r="BS114" s="285"/>
      <c r="BT114" s="285"/>
      <c r="BU114" s="285"/>
      <c r="BV114" s="285"/>
    </row>
    <row r="115" spans="2:74" ht="30" customHeight="1" x14ac:dyDescent="0.2">
      <c r="B115" s="677"/>
      <c r="C115" s="678"/>
      <c r="D115" s="678"/>
      <c r="E115" s="678"/>
      <c r="F115" s="678"/>
      <c r="G115" s="678"/>
      <c r="H115" s="678"/>
      <c r="I115" s="678"/>
      <c r="J115" s="678"/>
      <c r="K115" s="450" t="s">
        <v>547</v>
      </c>
      <c r="L115" s="400" t="s">
        <v>89</v>
      </c>
      <c r="M115" s="134">
        <v>44206</v>
      </c>
      <c r="N115" s="134" t="s">
        <v>539</v>
      </c>
      <c r="O115" s="157" t="s">
        <v>484</v>
      </c>
      <c r="P115" s="157" t="s">
        <v>317</v>
      </c>
      <c r="Q115" s="434"/>
      <c r="R115" s="101">
        <v>1852000000</v>
      </c>
      <c r="S115" s="402" t="s">
        <v>350</v>
      </c>
      <c r="T115" s="399"/>
      <c r="U115" s="253" t="s">
        <v>272</v>
      </c>
      <c r="V115" s="497"/>
      <c r="W115" s="497"/>
      <c r="X115" s="498"/>
      <c r="Y115" s="498">
        <v>1852000000</v>
      </c>
      <c r="Z115" s="498"/>
      <c r="AA115" s="498"/>
      <c r="AB115" s="498"/>
      <c r="AC115" s="498"/>
      <c r="AD115" s="498"/>
      <c r="AE115" s="498"/>
      <c r="AF115" s="498"/>
      <c r="AG115" s="498"/>
      <c r="AH115" s="501">
        <f t="shared" si="51"/>
        <v>1852000000</v>
      </c>
      <c r="AI115" s="535">
        <v>2521</v>
      </c>
      <c r="AJ115" s="538">
        <v>44209</v>
      </c>
      <c r="AK115" s="536">
        <v>1852000000</v>
      </c>
      <c r="AL115" s="536">
        <v>1851446626</v>
      </c>
      <c r="AM115" s="536">
        <v>1851446626</v>
      </c>
      <c r="AN115" s="532">
        <f>+R115-AL115</f>
        <v>553374</v>
      </c>
      <c r="AO115" s="532">
        <f>+AL115-AM115</f>
        <v>0</v>
      </c>
      <c r="AP115" s="533">
        <f>R115-AL115+AO115</f>
        <v>553374</v>
      </c>
      <c r="AR115" s="285"/>
      <c r="AS115" s="285"/>
      <c r="AT115" s="285"/>
      <c r="AU115" s="285"/>
      <c r="AV115" s="285"/>
      <c r="AW115" s="285"/>
      <c r="AX115" s="285"/>
      <c r="AY115" s="285"/>
      <c r="AZ115" s="285"/>
      <c r="BA115" s="285"/>
      <c r="BB115" s="285"/>
      <c r="BC115" s="285"/>
      <c r="BD115" s="285"/>
      <c r="BE115" s="285"/>
      <c r="BF115" s="285"/>
      <c r="BG115" s="285"/>
      <c r="BH115" s="285"/>
      <c r="BI115" s="285"/>
      <c r="BJ115" s="285"/>
      <c r="BK115" s="285"/>
      <c r="BL115" s="285"/>
      <c r="BM115" s="285"/>
      <c r="BN115" s="285"/>
      <c r="BO115" s="285"/>
      <c r="BP115" s="285"/>
      <c r="BQ115" s="285"/>
      <c r="BR115" s="285"/>
      <c r="BS115" s="285"/>
      <c r="BT115" s="285"/>
      <c r="BU115" s="285"/>
      <c r="BV115" s="285"/>
    </row>
    <row r="116" spans="2:74" ht="36.6" customHeight="1" x14ac:dyDescent="0.2">
      <c r="B116" s="397" t="s">
        <v>7</v>
      </c>
      <c r="C116" s="395" t="s">
        <v>20</v>
      </c>
      <c r="D116" s="395" t="s">
        <v>20</v>
      </c>
      <c r="E116" s="395" t="s">
        <v>20</v>
      </c>
      <c r="F116" s="395" t="s">
        <v>15</v>
      </c>
      <c r="G116" s="395" t="s">
        <v>9</v>
      </c>
      <c r="H116" s="395" t="s">
        <v>23</v>
      </c>
      <c r="I116" s="395" t="s">
        <v>34</v>
      </c>
      <c r="J116" s="405" t="s">
        <v>29</v>
      </c>
      <c r="K116" s="397"/>
      <c r="L116" s="404" t="s">
        <v>90</v>
      </c>
      <c r="M116" s="133"/>
      <c r="N116" s="133"/>
      <c r="O116" s="156"/>
      <c r="P116" s="156"/>
      <c r="Q116" s="434">
        <v>10000000</v>
      </c>
      <c r="R116" s="5">
        <f>SUM(R117:R117)</f>
        <v>10000000</v>
      </c>
      <c r="S116" s="181"/>
      <c r="T116" s="396"/>
      <c r="U116" s="245"/>
      <c r="V116" s="497">
        <f>SUM(V117:V117)</f>
        <v>0</v>
      </c>
      <c r="W116" s="497">
        <f>SUM(W117:W117)</f>
        <v>0</v>
      </c>
      <c r="X116" s="498">
        <f>SUM(X117:X117)</f>
        <v>0</v>
      </c>
      <c r="Y116" s="498">
        <f>SUM(Y117:Y117)</f>
        <v>0</v>
      </c>
      <c r="Z116" s="498">
        <f>SUM(Z117:Z117)</f>
        <v>0</v>
      </c>
      <c r="AA116" s="498">
        <f t="shared" ref="AA116:AG116" si="80">SUM(AA117:AA117)</f>
        <v>0</v>
      </c>
      <c r="AB116" s="498">
        <f t="shared" si="80"/>
        <v>0</v>
      </c>
      <c r="AC116" s="498">
        <f t="shared" si="80"/>
        <v>0</v>
      </c>
      <c r="AD116" s="498">
        <f t="shared" si="80"/>
        <v>0</v>
      </c>
      <c r="AE116" s="498">
        <f t="shared" si="80"/>
        <v>0</v>
      </c>
      <c r="AF116" s="498">
        <f t="shared" si="80"/>
        <v>10000000</v>
      </c>
      <c r="AG116" s="498">
        <f t="shared" si="80"/>
        <v>0</v>
      </c>
      <c r="AH116" s="501">
        <f t="shared" si="51"/>
        <v>10000000</v>
      </c>
      <c r="AI116" s="535"/>
      <c r="AJ116" s="535"/>
      <c r="AK116" s="536"/>
      <c r="AL116" s="536"/>
      <c r="AM116" s="536"/>
      <c r="AR116" s="285"/>
      <c r="AS116" s="285"/>
      <c r="AT116" s="285"/>
      <c r="AU116" s="285"/>
      <c r="AV116" s="285"/>
      <c r="AW116" s="285"/>
      <c r="AX116" s="285"/>
      <c r="AY116" s="285"/>
      <c r="AZ116" s="285"/>
      <c r="BA116" s="285"/>
      <c r="BB116" s="285"/>
      <c r="BC116" s="285"/>
      <c r="BD116" s="285"/>
      <c r="BE116" s="285"/>
      <c r="BF116" s="285"/>
      <c r="BG116" s="285"/>
      <c r="BH116" s="285"/>
      <c r="BI116" s="285"/>
      <c r="BJ116" s="285"/>
      <c r="BK116" s="285"/>
      <c r="BL116" s="285"/>
      <c r="BM116" s="285"/>
      <c r="BN116" s="285"/>
      <c r="BO116" s="285"/>
      <c r="BP116" s="285"/>
      <c r="BQ116" s="285"/>
      <c r="BR116" s="285"/>
      <c r="BS116" s="285"/>
      <c r="BT116" s="285"/>
      <c r="BU116" s="285"/>
      <c r="BV116" s="285"/>
    </row>
    <row r="117" spans="2:74" ht="30" customHeight="1" x14ac:dyDescent="0.2">
      <c r="B117" s="677"/>
      <c r="C117" s="678"/>
      <c r="D117" s="678"/>
      <c r="E117" s="678"/>
      <c r="F117" s="678"/>
      <c r="G117" s="678"/>
      <c r="H117" s="678"/>
      <c r="I117" s="678"/>
      <c r="J117" s="678"/>
      <c r="K117" s="398">
        <v>84131500</v>
      </c>
      <c r="L117" s="400" t="s">
        <v>90</v>
      </c>
      <c r="M117" s="134">
        <v>44470</v>
      </c>
      <c r="N117" s="134" t="s">
        <v>578</v>
      </c>
      <c r="O117" s="157" t="s">
        <v>546</v>
      </c>
      <c r="P117" s="157" t="s">
        <v>384</v>
      </c>
      <c r="Q117" s="434"/>
      <c r="R117" s="101">
        <v>10000000</v>
      </c>
      <c r="S117" s="453" t="s">
        <v>386</v>
      </c>
      <c r="T117" s="399"/>
      <c r="U117" s="257" t="s">
        <v>557</v>
      </c>
      <c r="V117" s="497"/>
      <c r="W117" s="497"/>
      <c r="X117" s="498"/>
      <c r="Y117" s="498"/>
      <c r="Z117" s="498"/>
      <c r="AA117" s="498"/>
      <c r="AB117" s="498"/>
      <c r="AC117" s="498"/>
      <c r="AD117" s="498"/>
      <c r="AE117" s="498"/>
      <c r="AF117" s="498">
        <v>10000000</v>
      </c>
      <c r="AG117" s="498"/>
      <c r="AH117" s="501">
        <f t="shared" si="51"/>
        <v>10000000</v>
      </c>
      <c r="AI117" s="535">
        <v>78821</v>
      </c>
      <c r="AJ117" s="538">
        <v>44476</v>
      </c>
      <c r="AK117" s="536">
        <v>10000000</v>
      </c>
      <c r="AL117" s="536">
        <v>5446406</v>
      </c>
      <c r="AM117" s="536">
        <v>5446406</v>
      </c>
      <c r="AN117" s="532">
        <f>+R117-AL117</f>
        <v>4553594</v>
      </c>
      <c r="AO117" s="532">
        <f>+AL117-AM117</f>
        <v>0</v>
      </c>
      <c r="AP117" s="533">
        <f>R117-AL117+AO117</f>
        <v>4553594</v>
      </c>
      <c r="AR117" s="285"/>
      <c r="AS117" s="285"/>
      <c r="AT117" s="285"/>
      <c r="AU117" s="285"/>
      <c r="AV117" s="285"/>
      <c r="AW117" s="285"/>
      <c r="AX117" s="285"/>
      <c r="AY117" s="285"/>
      <c r="AZ117" s="285"/>
      <c r="BA117" s="285"/>
      <c r="BB117" s="285"/>
      <c r="BC117" s="285"/>
      <c r="BD117" s="285"/>
      <c r="BE117" s="285"/>
      <c r="BF117" s="285"/>
      <c r="BG117" s="285"/>
      <c r="BH117" s="285"/>
      <c r="BI117" s="285"/>
      <c r="BJ117" s="285"/>
      <c r="BK117" s="285"/>
      <c r="BL117" s="285"/>
      <c r="BM117" s="285"/>
      <c r="BN117" s="285"/>
      <c r="BO117" s="285"/>
      <c r="BP117" s="285"/>
      <c r="BQ117" s="285"/>
      <c r="BR117" s="285"/>
      <c r="BS117" s="285"/>
      <c r="BT117" s="285"/>
      <c r="BU117" s="285"/>
      <c r="BV117" s="285"/>
    </row>
    <row r="118" spans="2:74" ht="30" customHeight="1" x14ac:dyDescent="0.2">
      <c r="B118" s="13" t="s">
        <v>7</v>
      </c>
      <c r="C118" s="14" t="s">
        <v>20</v>
      </c>
      <c r="D118" s="14" t="s">
        <v>20</v>
      </c>
      <c r="E118" s="14" t="s">
        <v>20</v>
      </c>
      <c r="F118" s="14" t="s">
        <v>16</v>
      </c>
      <c r="G118" s="14"/>
      <c r="H118" s="14"/>
      <c r="I118" s="14"/>
      <c r="J118" s="195"/>
      <c r="K118" s="13"/>
      <c r="L118" s="411" t="s">
        <v>91</v>
      </c>
      <c r="M118" s="131"/>
      <c r="N118" s="131"/>
      <c r="O118" s="154"/>
      <c r="P118" s="154"/>
      <c r="Q118" s="434">
        <f>+Q119+Q124+Q151+Q159</f>
        <v>1105000000</v>
      </c>
      <c r="R118" s="16">
        <f>+R119+R124+R151+R159</f>
        <v>889510000</v>
      </c>
      <c r="S118" s="14"/>
      <c r="T118" s="17"/>
      <c r="U118" s="252"/>
      <c r="V118" s="497">
        <f t="shared" ref="V118:AG118" si="81">+V119+V124+V151+V159</f>
        <v>23595142.857142858</v>
      </c>
      <c r="W118" s="497">
        <f t="shared" si="81"/>
        <v>61385142.857142858</v>
      </c>
      <c r="X118" s="498">
        <f t="shared" si="81"/>
        <v>61535142.857142858</v>
      </c>
      <c r="Y118" s="498">
        <f t="shared" si="81"/>
        <v>68095142.857142851</v>
      </c>
      <c r="Z118" s="498">
        <f t="shared" si="81"/>
        <v>72745142.857142851</v>
      </c>
      <c r="AA118" s="498">
        <f t="shared" si="81"/>
        <v>88095142.857142866</v>
      </c>
      <c r="AB118" s="498">
        <f t="shared" si="81"/>
        <v>92189142.857142866</v>
      </c>
      <c r="AC118" s="498">
        <f t="shared" si="81"/>
        <v>118350000</v>
      </c>
      <c r="AD118" s="498">
        <f t="shared" si="81"/>
        <v>113850000</v>
      </c>
      <c r="AE118" s="498">
        <f t="shared" si="81"/>
        <v>73850000</v>
      </c>
      <c r="AF118" s="498">
        <f t="shared" si="81"/>
        <v>134260000</v>
      </c>
      <c r="AG118" s="498">
        <f t="shared" si="81"/>
        <v>54760000</v>
      </c>
      <c r="AH118" s="501">
        <f t="shared" si="51"/>
        <v>962710000</v>
      </c>
      <c r="AI118" s="535"/>
      <c r="AJ118" s="535"/>
      <c r="AK118" s="536"/>
      <c r="AL118" s="536"/>
      <c r="AM118" s="536"/>
      <c r="AR118" s="285"/>
      <c r="AS118" s="285"/>
      <c r="AT118" s="285"/>
      <c r="AU118" s="285"/>
      <c r="AV118" s="285"/>
      <c r="AW118" s="285"/>
      <c r="AX118" s="285"/>
      <c r="AY118" s="285"/>
      <c r="AZ118" s="285"/>
      <c r="BA118" s="285"/>
      <c r="BB118" s="285"/>
      <c r="BC118" s="285"/>
      <c r="BD118" s="285"/>
      <c r="BE118" s="285"/>
      <c r="BF118" s="285"/>
      <c r="BG118" s="285"/>
      <c r="BH118" s="285"/>
      <c r="BI118" s="285"/>
      <c r="BJ118" s="285"/>
      <c r="BK118" s="285"/>
      <c r="BL118" s="285"/>
      <c r="BM118" s="285"/>
      <c r="BN118" s="285"/>
      <c r="BO118" s="285"/>
      <c r="BP118" s="285"/>
      <c r="BQ118" s="285"/>
      <c r="BR118" s="285"/>
      <c r="BS118" s="285"/>
      <c r="BT118" s="285"/>
      <c r="BU118" s="285"/>
      <c r="BV118" s="285"/>
    </row>
    <row r="119" spans="2:74" ht="15" customHeight="1" x14ac:dyDescent="0.2">
      <c r="B119" s="91" t="s">
        <v>7</v>
      </c>
      <c r="C119" s="92" t="s">
        <v>20</v>
      </c>
      <c r="D119" s="92" t="s">
        <v>20</v>
      </c>
      <c r="E119" s="92" t="s">
        <v>20</v>
      </c>
      <c r="F119" s="92" t="s">
        <v>16</v>
      </c>
      <c r="G119" s="92" t="s">
        <v>10</v>
      </c>
      <c r="H119" s="92"/>
      <c r="I119" s="92"/>
      <c r="J119" s="196"/>
      <c r="K119" s="91"/>
      <c r="L119" s="412" t="s">
        <v>92</v>
      </c>
      <c r="M119" s="132"/>
      <c r="N119" s="132"/>
      <c r="O119" s="155"/>
      <c r="P119" s="155"/>
      <c r="Q119" s="434">
        <f>+Q120</f>
        <v>52800000</v>
      </c>
      <c r="R119" s="94">
        <f>+R120</f>
        <v>134400000</v>
      </c>
      <c r="S119" s="92"/>
      <c r="T119" s="95"/>
      <c r="U119" s="244"/>
      <c r="V119" s="497">
        <f>+V120</f>
        <v>6400000</v>
      </c>
      <c r="W119" s="497">
        <f>+W120</f>
        <v>14400000</v>
      </c>
      <c r="X119" s="498">
        <f>+X120</f>
        <v>14400000</v>
      </c>
      <c r="Y119" s="498">
        <f>+Y120</f>
        <v>14400000</v>
      </c>
      <c r="Z119" s="498">
        <f>+Z120</f>
        <v>14400000</v>
      </c>
      <c r="AA119" s="498">
        <f t="shared" ref="AA119:AG119" si="82">+AA120</f>
        <v>14400000</v>
      </c>
      <c r="AB119" s="498">
        <f t="shared" si="82"/>
        <v>14400000</v>
      </c>
      <c r="AC119" s="498">
        <f t="shared" si="82"/>
        <v>14400000</v>
      </c>
      <c r="AD119" s="498">
        <f t="shared" si="82"/>
        <v>14400000</v>
      </c>
      <c r="AE119" s="498">
        <f t="shared" si="82"/>
        <v>14400000</v>
      </c>
      <c r="AF119" s="498">
        <f t="shared" si="82"/>
        <v>14400000</v>
      </c>
      <c r="AG119" s="498">
        <f t="shared" si="82"/>
        <v>8000000</v>
      </c>
      <c r="AH119" s="501">
        <f t="shared" si="51"/>
        <v>158400000</v>
      </c>
      <c r="AI119" s="535"/>
      <c r="AJ119" s="535"/>
      <c r="AK119" s="536"/>
      <c r="AL119" s="536"/>
      <c r="AM119" s="536"/>
      <c r="AR119" s="285"/>
      <c r="AS119" s="285"/>
      <c r="AT119" s="285"/>
      <c r="AU119" s="285"/>
      <c r="AV119" s="285"/>
      <c r="AW119" s="285"/>
      <c r="AX119" s="285"/>
      <c r="AY119" s="285"/>
      <c r="AZ119" s="285"/>
      <c r="BA119" s="285"/>
      <c r="BB119" s="285"/>
      <c r="BC119" s="285"/>
      <c r="BD119" s="285"/>
      <c r="BE119" s="285"/>
      <c r="BF119" s="285"/>
      <c r="BG119" s="285"/>
      <c r="BH119" s="285"/>
      <c r="BI119" s="285"/>
      <c r="BJ119" s="285"/>
      <c r="BK119" s="285"/>
      <c r="BL119" s="285"/>
      <c r="BM119" s="285"/>
      <c r="BN119" s="285"/>
      <c r="BO119" s="285"/>
      <c r="BP119" s="285"/>
      <c r="BQ119" s="285"/>
      <c r="BR119" s="285"/>
      <c r="BS119" s="285"/>
      <c r="BT119" s="285"/>
      <c r="BU119" s="285"/>
      <c r="BV119" s="285"/>
    </row>
    <row r="120" spans="2:74" ht="16.5" customHeight="1" x14ac:dyDescent="0.2">
      <c r="B120" s="397" t="s">
        <v>7</v>
      </c>
      <c r="C120" s="395" t="s">
        <v>20</v>
      </c>
      <c r="D120" s="395" t="s">
        <v>20</v>
      </c>
      <c r="E120" s="395" t="s">
        <v>20</v>
      </c>
      <c r="F120" s="395" t="s">
        <v>16</v>
      </c>
      <c r="G120" s="395" t="s">
        <v>10</v>
      </c>
      <c r="H120" s="395" t="s">
        <v>8</v>
      </c>
      <c r="I120" s="395"/>
      <c r="J120" s="405"/>
      <c r="K120" s="397"/>
      <c r="L120" s="404" t="s">
        <v>93</v>
      </c>
      <c r="M120" s="133"/>
      <c r="N120" s="133"/>
      <c r="O120" s="156"/>
      <c r="P120" s="156"/>
      <c r="Q120" s="434">
        <v>52800000</v>
      </c>
      <c r="R120" s="5">
        <f>SUM(R121:R123)</f>
        <v>134400000</v>
      </c>
      <c r="S120" s="181"/>
      <c r="T120" s="396"/>
      <c r="U120" s="245"/>
      <c r="V120" s="497">
        <f t="shared" ref="V120:AG120" si="83">SUM(V121:V123)</f>
        <v>6400000</v>
      </c>
      <c r="W120" s="497">
        <f t="shared" si="83"/>
        <v>14400000</v>
      </c>
      <c r="X120" s="498">
        <f t="shared" si="83"/>
        <v>14400000</v>
      </c>
      <c r="Y120" s="498">
        <f t="shared" si="83"/>
        <v>14400000</v>
      </c>
      <c r="Z120" s="498">
        <f t="shared" si="83"/>
        <v>14400000</v>
      </c>
      <c r="AA120" s="498">
        <f t="shared" si="83"/>
        <v>14400000</v>
      </c>
      <c r="AB120" s="498">
        <f t="shared" si="83"/>
        <v>14400000</v>
      </c>
      <c r="AC120" s="498">
        <f t="shared" si="83"/>
        <v>14400000</v>
      </c>
      <c r="AD120" s="498">
        <f t="shared" si="83"/>
        <v>14400000</v>
      </c>
      <c r="AE120" s="498">
        <f t="shared" si="83"/>
        <v>14400000</v>
      </c>
      <c r="AF120" s="498">
        <f t="shared" si="83"/>
        <v>14400000</v>
      </c>
      <c r="AG120" s="498">
        <f t="shared" si="83"/>
        <v>8000000</v>
      </c>
      <c r="AH120" s="501">
        <f t="shared" si="51"/>
        <v>158400000</v>
      </c>
      <c r="AI120" s="535"/>
      <c r="AJ120" s="535"/>
      <c r="AK120" s="536"/>
      <c r="AL120" s="536"/>
      <c r="AM120" s="536"/>
      <c r="AR120" s="285"/>
      <c r="AS120" s="285"/>
      <c r="AT120" s="285"/>
      <c r="AU120" s="285"/>
      <c r="AV120" s="285"/>
      <c r="AW120" s="285"/>
      <c r="AX120" s="285"/>
      <c r="AY120" s="285"/>
      <c r="AZ120" s="285"/>
      <c r="BA120" s="285"/>
      <c r="BB120" s="285"/>
      <c r="BC120" s="285"/>
      <c r="BD120" s="285"/>
      <c r="BE120" s="285"/>
      <c r="BF120" s="285"/>
      <c r="BG120" s="285"/>
      <c r="BH120" s="285"/>
      <c r="BI120" s="285"/>
      <c r="BJ120" s="285"/>
      <c r="BK120" s="285"/>
      <c r="BL120" s="285"/>
      <c r="BM120" s="285"/>
      <c r="BN120" s="285"/>
      <c r="BO120" s="285"/>
      <c r="BP120" s="285"/>
      <c r="BQ120" s="285"/>
      <c r="BR120" s="285"/>
      <c r="BS120" s="285"/>
      <c r="BT120" s="285"/>
      <c r="BU120" s="285"/>
      <c r="BV120" s="285"/>
    </row>
    <row r="121" spans="2:74" ht="120" customHeight="1" x14ac:dyDescent="0.2">
      <c r="B121" s="677"/>
      <c r="C121" s="678"/>
      <c r="D121" s="678"/>
      <c r="E121" s="678"/>
      <c r="F121" s="678"/>
      <c r="G121" s="678"/>
      <c r="H121" s="678"/>
      <c r="I121" s="678"/>
      <c r="J121" s="737"/>
      <c r="K121" s="447">
        <v>80121600</v>
      </c>
      <c r="L121" s="451" t="s">
        <v>252</v>
      </c>
      <c r="M121" s="134">
        <v>44206</v>
      </c>
      <c r="N121" s="134" t="s">
        <v>540</v>
      </c>
      <c r="O121" s="157" t="s">
        <v>486</v>
      </c>
      <c r="P121" s="157" t="s">
        <v>374</v>
      </c>
      <c r="Q121" s="434"/>
      <c r="R121" s="101">
        <f>52800000-5500000</f>
        <v>47300000</v>
      </c>
      <c r="S121" s="453" t="s">
        <v>386</v>
      </c>
      <c r="T121" s="399"/>
      <c r="U121" s="253" t="s">
        <v>253</v>
      </c>
      <c r="V121" s="497">
        <v>2400000</v>
      </c>
      <c r="W121" s="497">
        <v>4800000</v>
      </c>
      <c r="X121" s="498">
        <v>4800000</v>
      </c>
      <c r="Y121" s="498">
        <v>4800000</v>
      </c>
      <c r="Z121" s="498">
        <v>4800000</v>
      </c>
      <c r="AA121" s="498">
        <v>4800000</v>
      </c>
      <c r="AB121" s="498">
        <v>4800000</v>
      </c>
      <c r="AC121" s="498">
        <v>4800000</v>
      </c>
      <c r="AD121" s="498">
        <v>4800000</v>
      </c>
      <c r="AE121" s="498">
        <v>4800000</v>
      </c>
      <c r="AF121" s="498">
        <v>4800000</v>
      </c>
      <c r="AG121" s="498">
        <v>2400000</v>
      </c>
      <c r="AH121" s="501">
        <f t="shared" si="51"/>
        <v>52800000</v>
      </c>
      <c r="AI121" s="535">
        <v>5221</v>
      </c>
      <c r="AJ121" s="538">
        <v>44215</v>
      </c>
      <c r="AK121" s="536">
        <v>47300000</v>
      </c>
      <c r="AL121" s="536">
        <v>47300000</v>
      </c>
      <c r="AM121" s="536">
        <v>47300000</v>
      </c>
      <c r="AN121" s="532">
        <f>+R121-AL121</f>
        <v>0</v>
      </c>
      <c r="AO121" s="532">
        <f>+AL121-AM121</f>
        <v>0</v>
      </c>
      <c r="AP121" s="533">
        <f>R121-AL121+AO121</f>
        <v>0</v>
      </c>
      <c r="AR121" s="285"/>
      <c r="AS121" s="285"/>
      <c r="AT121" s="285"/>
      <c r="AU121" s="285"/>
      <c r="AV121" s="285"/>
      <c r="AW121" s="285"/>
      <c r="AX121" s="285"/>
      <c r="AY121" s="285"/>
      <c r="AZ121" s="285"/>
      <c r="BA121" s="285"/>
      <c r="BB121" s="285"/>
      <c r="BC121" s="285"/>
      <c r="BD121" s="285"/>
      <c r="BE121" s="285"/>
      <c r="BF121" s="285"/>
      <c r="BG121" s="285"/>
      <c r="BH121" s="285"/>
      <c r="BI121" s="285"/>
      <c r="BJ121" s="285"/>
      <c r="BK121" s="285"/>
      <c r="BL121" s="285"/>
      <c r="BM121" s="285"/>
      <c r="BN121" s="285"/>
      <c r="BO121" s="285"/>
      <c r="BP121" s="285"/>
      <c r="BQ121" s="285"/>
      <c r="BR121" s="285"/>
      <c r="BS121" s="285"/>
      <c r="BT121" s="285"/>
      <c r="BU121" s="285"/>
      <c r="BV121" s="285"/>
    </row>
    <row r="122" spans="2:74" s="394" customFormat="1" ht="75" customHeight="1" x14ac:dyDescent="0.2">
      <c r="B122" s="682"/>
      <c r="C122" s="683"/>
      <c r="D122" s="683"/>
      <c r="E122" s="683"/>
      <c r="F122" s="683"/>
      <c r="G122" s="683"/>
      <c r="H122" s="683"/>
      <c r="I122" s="683"/>
      <c r="J122" s="741"/>
      <c r="K122" s="447">
        <v>80121600</v>
      </c>
      <c r="L122" s="400" t="s">
        <v>549</v>
      </c>
      <c r="M122" s="134">
        <v>44206</v>
      </c>
      <c r="N122" s="134" t="s">
        <v>540</v>
      </c>
      <c r="O122" s="157" t="s">
        <v>486</v>
      </c>
      <c r="P122" s="157" t="s">
        <v>374</v>
      </c>
      <c r="Q122" s="434"/>
      <c r="R122" s="101">
        <f>52800000-9800000+2870000</f>
        <v>45870000</v>
      </c>
      <c r="S122" s="453" t="s">
        <v>386</v>
      </c>
      <c r="T122" s="399"/>
      <c r="U122" s="253" t="s">
        <v>458</v>
      </c>
      <c r="V122" s="497">
        <v>2400000</v>
      </c>
      <c r="W122" s="497">
        <v>4800000</v>
      </c>
      <c r="X122" s="498">
        <v>4800000</v>
      </c>
      <c r="Y122" s="498">
        <v>4800000</v>
      </c>
      <c r="Z122" s="498">
        <v>4800000</v>
      </c>
      <c r="AA122" s="498">
        <v>4800000</v>
      </c>
      <c r="AB122" s="498">
        <v>4800000</v>
      </c>
      <c r="AC122" s="498">
        <v>4800000</v>
      </c>
      <c r="AD122" s="498">
        <v>4800000</v>
      </c>
      <c r="AE122" s="498">
        <v>4800000</v>
      </c>
      <c r="AF122" s="498">
        <v>4800000</v>
      </c>
      <c r="AG122" s="498">
        <v>2400000</v>
      </c>
      <c r="AH122" s="501">
        <f t="shared" si="51"/>
        <v>52800000</v>
      </c>
      <c r="AI122" s="535">
        <v>4921</v>
      </c>
      <c r="AJ122" s="538">
        <v>44214</v>
      </c>
      <c r="AK122" s="536">
        <v>43000000</v>
      </c>
      <c r="AL122" s="536">
        <v>45150000</v>
      </c>
      <c r="AM122" s="536">
        <v>45150000</v>
      </c>
      <c r="AN122" s="532">
        <f>+R122-AL122</f>
        <v>720000</v>
      </c>
      <c r="AO122" s="532">
        <f>+AL122-AM122</f>
        <v>0</v>
      </c>
      <c r="AP122" s="533">
        <f>R122-AL122+AO122</f>
        <v>720000</v>
      </c>
      <c r="AQ122" s="440"/>
      <c r="AR122" s="285"/>
      <c r="AS122" s="285"/>
      <c r="AT122" s="285"/>
      <c r="AU122" s="285"/>
      <c r="AV122" s="285"/>
      <c r="AW122" s="285"/>
      <c r="AX122" s="285"/>
      <c r="AY122" s="285"/>
      <c r="AZ122" s="285"/>
      <c r="BA122" s="285"/>
      <c r="BB122" s="285"/>
      <c r="BC122" s="285"/>
      <c r="BD122" s="285"/>
      <c r="BE122" s="285"/>
      <c r="BF122" s="285"/>
      <c r="BG122" s="285"/>
      <c r="BH122" s="285"/>
      <c r="BI122" s="285"/>
      <c r="BJ122" s="285"/>
      <c r="BK122" s="285"/>
      <c r="BL122" s="285"/>
      <c r="BM122" s="285"/>
      <c r="BN122" s="285"/>
      <c r="BO122" s="285"/>
      <c r="BP122" s="285"/>
      <c r="BQ122" s="285"/>
      <c r="BR122" s="285"/>
      <c r="BS122" s="285"/>
      <c r="BT122" s="285"/>
      <c r="BU122" s="285"/>
      <c r="BV122" s="285"/>
    </row>
    <row r="123" spans="2:74" s="394" customFormat="1" ht="60" customHeight="1" x14ac:dyDescent="0.2">
      <c r="B123" s="682"/>
      <c r="C123" s="683"/>
      <c r="D123" s="683"/>
      <c r="E123" s="683"/>
      <c r="F123" s="683"/>
      <c r="G123" s="683"/>
      <c r="H123" s="683"/>
      <c r="I123" s="683"/>
      <c r="J123" s="741"/>
      <c r="K123" s="447">
        <v>80121600</v>
      </c>
      <c r="L123" s="400" t="s">
        <v>481</v>
      </c>
      <c r="M123" s="134">
        <v>44206</v>
      </c>
      <c r="N123" s="134" t="s">
        <v>540</v>
      </c>
      <c r="O123" s="157" t="s">
        <v>486</v>
      </c>
      <c r="P123" s="157" t="s">
        <v>374</v>
      </c>
      <c r="Q123" s="434"/>
      <c r="R123" s="101">
        <f>52800000-8700000-2870000</f>
        <v>41230000</v>
      </c>
      <c r="S123" s="453" t="s">
        <v>386</v>
      </c>
      <c r="T123" s="439"/>
      <c r="U123" s="253" t="s">
        <v>479</v>
      </c>
      <c r="V123" s="497">
        <v>1600000</v>
      </c>
      <c r="W123" s="497">
        <v>4800000</v>
      </c>
      <c r="X123" s="498">
        <v>4800000</v>
      </c>
      <c r="Y123" s="498">
        <v>4800000</v>
      </c>
      <c r="Z123" s="498">
        <v>4800000</v>
      </c>
      <c r="AA123" s="498">
        <v>4800000</v>
      </c>
      <c r="AB123" s="498">
        <v>4800000</v>
      </c>
      <c r="AC123" s="498">
        <v>4800000</v>
      </c>
      <c r="AD123" s="498">
        <v>4800000</v>
      </c>
      <c r="AE123" s="498">
        <v>4800000</v>
      </c>
      <c r="AF123" s="498">
        <v>4800000</v>
      </c>
      <c r="AG123" s="498">
        <v>3200000</v>
      </c>
      <c r="AH123" s="501">
        <f t="shared" si="51"/>
        <v>52800000</v>
      </c>
      <c r="AI123" s="535">
        <v>4821</v>
      </c>
      <c r="AJ123" s="538">
        <v>44214</v>
      </c>
      <c r="AK123" s="536">
        <v>30100000</v>
      </c>
      <c r="AL123" s="536">
        <v>39846667</v>
      </c>
      <c r="AM123" s="536">
        <v>39846667</v>
      </c>
      <c r="AN123" s="532">
        <f>+R123-AL123</f>
        <v>1383333</v>
      </c>
      <c r="AO123" s="532">
        <f>+AL123-AM123</f>
        <v>0</v>
      </c>
      <c r="AP123" s="533">
        <f>R123-AL123+AO123</f>
        <v>1383333</v>
      </c>
      <c r="AQ123" s="440"/>
      <c r="AR123" s="285"/>
      <c r="AS123" s="285"/>
      <c r="AT123" s="285"/>
      <c r="AU123" s="285"/>
      <c r="AV123" s="285"/>
      <c r="AW123" s="285"/>
      <c r="AX123" s="657">
        <f>6000000/20000000</f>
        <v>0.3</v>
      </c>
      <c r="AY123" s="285"/>
      <c r="AZ123" s="285"/>
      <c r="BA123" s="285"/>
      <c r="BB123" s="285"/>
      <c r="BC123" s="285"/>
      <c r="BD123" s="285"/>
      <c r="BE123" s="285"/>
      <c r="BF123" s="285"/>
      <c r="BG123" s="285"/>
      <c r="BH123" s="285"/>
      <c r="BI123" s="285"/>
      <c r="BJ123" s="285"/>
      <c r="BK123" s="285"/>
      <c r="BL123" s="285"/>
      <c r="BM123" s="285"/>
      <c r="BN123" s="285"/>
      <c r="BO123" s="285"/>
      <c r="BP123" s="285"/>
      <c r="BQ123" s="285"/>
      <c r="BR123" s="285"/>
      <c r="BS123" s="285"/>
      <c r="BT123" s="285"/>
      <c r="BU123" s="285"/>
      <c r="BV123" s="285"/>
    </row>
    <row r="124" spans="2:74" ht="30" customHeight="1" x14ac:dyDescent="0.2">
      <c r="B124" s="91" t="s">
        <v>7</v>
      </c>
      <c r="C124" s="92" t="s">
        <v>20</v>
      </c>
      <c r="D124" s="92" t="s">
        <v>20</v>
      </c>
      <c r="E124" s="92" t="s">
        <v>20</v>
      </c>
      <c r="F124" s="92" t="s">
        <v>16</v>
      </c>
      <c r="G124" s="92" t="s">
        <v>11</v>
      </c>
      <c r="H124" s="92"/>
      <c r="I124" s="92"/>
      <c r="J124" s="196"/>
      <c r="K124" s="91"/>
      <c r="L124" s="412" t="s">
        <v>95</v>
      </c>
      <c r="M124" s="132"/>
      <c r="N124" s="132"/>
      <c r="O124" s="155"/>
      <c r="P124" s="155"/>
      <c r="Q124" s="434">
        <f>+Q125</f>
        <v>666500000</v>
      </c>
      <c r="R124" s="94">
        <f>+R125</f>
        <v>492810000</v>
      </c>
      <c r="S124" s="92"/>
      <c r="T124" s="95">
        <v>493610000</v>
      </c>
      <c r="U124" s="244"/>
      <c r="V124" s="497">
        <f>+V125</f>
        <v>10579000</v>
      </c>
      <c r="W124" s="497">
        <f>+W125</f>
        <v>39629000</v>
      </c>
      <c r="X124" s="498">
        <f>+X125</f>
        <v>39829000</v>
      </c>
      <c r="Y124" s="498">
        <f>+Y125</f>
        <v>39829000</v>
      </c>
      <c r="Z124" s="498">
        <f>+Z125</f>
        <v>44479000</v>
      </c>
      <c r="AA124" s="498">
        <f t="shared" ref="AA124:AG124" si="84">+AA125</f>
        <v>39829000</v>
      </c>
      <c r="AB124" s="498">
        <f t="shared" si="84"/>
        <v>40426000</v>
      </c>
      <c r="AC124" s="498">
        <f t="shared" si="84"/>
        <v>85100000</v>
      </c>
      <c r="AD124" s="498">
        <f t="shared" si="84"/>
        <v>80600000</v>
      </c>
      <c r="AE124" s="498">
        <f t="shared" si="84"/>
        <v>40600000</v>
      </c>
      <c r="AF124" s="498">
        <f t="shared" si="84"/>
        <v>68010000</v>
      </c>
      <c r="AG124" s="498">
        <f t="shared" si="84"/>
        <v>30700000</v>
      </c>
      <c r="AH124" s="501">
        <f t="shared" si="51"/>
        <v>559610000</v>
      </c>
      <c r="AI124" s="535"/>
      <c r="AJ124" s="535"/>
      <c r="AK124" s="536"/>
      <c r="AL124" s="536"/>
      <c r="AM124" s="536"/>
      <c r="AQ124" s="440"/>
      <c r="AR124" s="285"/>
      <c r="AS124" s="285"/>
      <c r="AT124" s="285"/>
      <c r="AU124" s="285"/>
      <c r="AV124" s="285"/>
      <c r="AW124" s="285"/>
      <c r="AX124" s="285"/>
      <c r="AY124" s="285"/>
      <c r="AZ124" s="285"/>
      <c r="BA124" s="285"/>
      <c r="BB124" s="285"/>
      <c r="BC124" s="285"/>
      <c r="BD124" s="285"/>
      <c r="BE124" s="285"/>
      <c r="BF124" s="285"/>
      <c r="BG124" s="285"/>
      <c r="BH124" s="285"/>
      <c r="BI124" s="285"/>
      <c r="BJ124" s="285"/>
      <c r="BK124" s="285"/>
      <c r="BL124" s="285"/>
      <c r="BM124" s="285"/>
      <c r="BN124" s="285"/>
      <c r="BO124" s="285"/>
      <c r="BP124" s="285"/>
      <c r="BQ124" s="285"/>
      <c r="BR124" s="285"/>
      <c r="BS124" s="285"/>
      <c r="BT124" s="285"/>
      <c r="BU124" s="285"/>
      <c r="BV124" s="285"/>
    </row>
    <row r="125" spans="2:74" ht="45" customHeight="1" x14ac:dyDescent="0.2">
      <c r="B125" s="397" t="s">
        <v>7</v>
      </c>
      <c r="C125" s="395" t="s">
        <v>20</v>
      </c>
      <c r="D125" s="395" t="s">
        <v>20</v>
      </c>
      <c r="E125" s="395" t="s">
        <v>20</v>
      </c>
      <c r="F125" s="395" t="s">
        <v>16</v>
      </c>
      <c r="G125" s="395" t="s">
        <v>11</v>
      </c>
      <c r="H125" s="395" t="s">
        <v>8</v>
      </c>
      <c r="I125" s="395"/>
      <c r="J125" s="405"/>
      <c r="K125" s="397"/>
      <c r="L125" s="404" t="s">
        <v>122</v>
      </c>
      <c r="M125" s="133"/>
      <c r="N125" s="133"/>
      <c r="O125" s="156"/>
      <c r="P125" s="156"/>
      <c r="Q125" s="434">
        <f>+Q126+Q138+Q140+Q149</f>
        <v>666500000</v>
      </c>
      <c r="R125" s="5">
        <f>+R126+R138+R140+R149</f>
        <v>492810000</v>
      </c>
      <c r="S125" s="181"/>
      <c r="T125" s="396">
        <v>559610000</v>
      </c>
      <c r="U125" s="245"/>
      <c r="V125" s="497">
        <f>+V126+V138+V140+V149</f>
        <v>10579000</v>
      </c>
      <c r="W125" s="497">
        <f t="shared" ref="W125:AG125" si="85">+W126+W138+W140+W149</f>
        <v>39629000</v>
      </c>
      <c r="X125" s="497">
        <f t="shared" si="85"/>
        <v>39829000</v>
      </c>
      <c r="Y125" s="497">
        <f t="shared" si="85"/>
        <v>39829000</v>
      </c>
      <c r="Z125" s="497">
        <f t="shared" si="85"/>
        <v>44479000</v>
      </c>
      <c r="AA125" s="497">
        <f t="shared" si="85"/>
        <v>39829000</v>
      </c>
      <c r="AB125" s="497">
        <f t="shared" si="85"/>
        <v>40426000</v>
      </c>
      <c r="AC125" s="497">
        <f t="shared" si="85"/>
        <v>85100000</v>
      </c>
      <c r="AD125" s="497">
        <f t="shared" si="85"/>
        <v>80600000</v>
      </c>
      <c r="AE125" s="497">
        <f t="shared" si="85"/>
        <v>40600000</v>
      </c>
      <c r="AF125" s="497">
        <f t="shared" si="85"/>
        <v>68010000</v>
      </c>
      <c r="AG125" s="497">
        <f t="shared" si="85"/>
        <v>30700000</v>
      </c>
      <c r="AH125" s="501">
        <f t="shared" si="51"/>
        <v>559610000</v>
      </c>
      <c r="AI125" s="535"/>
      <c r="AJ125" s="535"/>
      <c r="AK125" s="536"/>
      <c r="AL125" s="536"/>
      <c r="AM125" s="536"/>
      <c r="AQ125" s="440"/>
      <c r="AR125" s="285"/>
      <c r="AS125" s="285"/>
      <c r="AT125" s="285"/>
      <c r="AU125" s="285"/>
      <c r="AV125" s="285"/>
      <c r="AW125" s="285"/>
      <c r="AX125" s="285"/>
      <c r="AY125" s="285"/>
      <c r="AZ125" s="285"/>
      <c r="BA125" s="285"/>
      <c r="BB125" s="285"/>
      <c r="BC125" s="285"/>
      <c r="BD125" s="285"/>
      <c r="BE125" s="285"/>
      <c r="BF125" s="285"/>
      <c r="BG125" s="285"/>
      <c r="BH125" s="285"/>
      <c r="BI125" s="285"/>
      <c r="BJ125" s="285"/>
      <c r="BK125" s="285"/>
      <c r="BL125" s="285"/>
      <c r="BM125" s="285"/>
      <c r="BN125" s="285"/>
      <c r="BO125" s="285"/>
      <c r="BP125" s="285"/>
      <c r="BQ125" s="285"/>
      <c r="BR125" s="285"/>
      <c r="BS125" s="285"/>
      <c r="BT125" s="285"/>
      <c r="BU125" s="285"/>
      <c r="BV125" s="285"/>
    </row>
    <row r="126" spans="2:74" ht="30" customHeight="1" x14ac:dyDescent="0.2">
      <c r="B126" s="397" t="s">
        <v>7</v>
      </c>
      <c r="C126" s="395" t="s">
        <v>20</v>
      </c>
      <c r="D126" s="395" t="s">
        <v>20</v>
      </c>
      <c r="E126" s="395" t="s">
        <v>20</v>
      </c>
      <c r="F126" s="395" t="s">
        <v>16</v>
      </c>
      <c r="G126" s="395" t="s">
        <v>11</v>
      </c>
      <c r="H126" s="395" t="s">
        <v>8</v>
      </c>
      <c r="I126" s="395" t="s">
        <v>21</v>
      </c>
      <c r="J126" s="198"/>
      <c r="K126" s="12"/>
      <c r="L126" s="404" t="s">
        <v>96</v>
      </c>
      <c r="M126" s="133"/>
      <c r="N126" s="133"/>
      <c r="O126" s="156"/>
      <c r="P126" s="159"/>
      <c r="Q126" s="434">
        <v>347600000</v>
      </c>
      <c r="R126" s="5">
        <f>SUM(R127:R137)</f>
        <v>238350000</v>
      </c>
      <c r="S126" s="181"/>
      <c r="T126" s="396"/>
      <c r="U126" s="545"/>
      <c r="V126" s="497">
        <f t="shared" ref="V126:AF126" si="86">SUM(V127:V137)</f>
        <v>8150000</v>
      </c>
      <c r="W126" s="497">
        <f t="shared" si="86"/>
        <v>25700000</v>
      </c>
      <c r="X126" s="498">
        <f t="shared" si="86"/>
        <v>20900000</v>
      </c>
      <c r="Y126" s="498">
        <f t="shared" si="86"/>
        <v>20900000</v>
      </c>
      <c r="Z126" s="498">
        <f t="shared" si="86"/>
        <v>20900000</v>
      </c>
      <c r="AA126" s="498">
        <f t="shared" si="86"/>
        <v>20900000</v>
      </c>
      <c r="AB126" s="498">
        <f t="shared" si="86"/>
        <v>21500000</v>
      </c>
      <c r="AC126" s="498">
        <f t="shared" si="86"/>
        <v>26600000</v>
      </c>
      <c r="AD126" s="498">
        <f t="shared" si="86"/>
        <v>22100000</v>
      </c>
      <c r="AE126" s="498">
        <f t="shared" si="86"/>
        <v>22100000</v>
      </c>
      <c r="AF126" s="498">
        <f t="shared" si="86"/>
        <v>38100000</v>
      </c>
      <c r="AG126" s="498">
        <f t="shared" ref="AG126" si="87">SUM(AG127:AG137)</f>
        <v>12200000</v>
      </c>
      <c r="AH126" s="501">
        <f t="shared" si="51"/>
        <v>260050000</v>
      </c>
      <c r="AI126" s="535"/>
      <c r="AJ126" s="535"/>
      <c r="AK126" s="536"/>
      <c r="AL126" s="536"/>
      <c r="AM126" s="536"/>
      <c r="AQ126" s="440"/>
      <c r="AR126" s="285"/>
      <c r="AS126" s="285"/>
      <c r="AT126" s="285"/>
      <c r="AU126" s="285"/>
      <c r="AV126" s="285"/>
      <c r="AW126" s="285"/>
      <c r="AX126" s="285"/>
      <c r="AY126" s="285"/>
      <c r="AZ126" s="285"/>
      <c r="BA126" s="285"/>
      <c r="BB126" s="285"/>
      <c r="BC126" s="285"/>
      <c r="BD126" s="285"/>
      <c r="BE126" s="285"/>
      <c r="BF126" s="285"/>
      <c r="BG126" s="285"/>
      <c r="BH126" s="285"/>
      <c r="BI126" s="285"/>
      <c r="BJ126" s="285"/>
      <c r="BK126" s="285"/>
      <c r="BL126" s="285"/>
      <c r="BM126" s="285"/>
      <c r="BN126" s="285"/>
      <c r="BO126" s="285"/>
      <c r="BP126" s="285"/>
      <c r="BQ126" s="285"/>
      <c r="BR126" s="285"/>
      <c r="BS126" s="285"/>
      <c r="BT126" s="285"/>
      <c r="BU126" s="285"/>
      <c r="BV126" s="285"/>
    </row>
    <row r="127" spans="2:74" s="648" customFormat="1" ht="75" customHeight="1" x14ac:dyDescent="0.2">
      <c r="B127" s="677"/>
      <c r="C127" s="678"/>
      <c r="D127" s="678"/>
      <c r="E127" s="678"/>
      <c r="F127" s="678"/>
      <c r="G127" s="678"/>
      <c r="H127" s="678"/>
      <c r="I127" s="678"/>
      <c r="J127" s="678"/>
      <c r="K127" s="447">
        <v>80101500</v>
      </c>
      <c r="L127" s="451" t="s">
        <v>256</v>
      </c>
      <c r="M127" s="134">
        <v>44206</v>
      </c>
      <c r="N127" s="134" t="s">
        <v>540</v>
      </c>
      <c r="O127" s="157" t="s">
        <v>486</v>
      </c>
      <c r="P127" s="157" t="s">
        <v>374</v>
      </c>
      <c r="Q127" s="101"/>
      <c r="R127" s="101">
        <f>52800000+25960000-3000000+1513333.33</f>
        <v>77273333.329999998</v>
      </c>
      <c r="S127" s="453" t="s">
        <v>386</v>
      </c>
      <c r="T127" s="449"/>
      <c r="U127" s="461" t="s">
        <v>254</v>
      </c>
      <c r="V127" s="650">
        <v>2400000</v>
      </c>
      <c r="W127" s="650">
        <v>4800000</v>
      </c>
      <c r="X127" s="651">
        <v>4800000</v>
      </c>
      <c r="Y127" s="651">
        <v>4800000</v>
      </c>
      <c r="Z127" s="651">
        <v>4800000</v>
      </c>
      <c r="AA127" s="651">
        <v>4800000</v>
      </c>
      <c r="AB127" s="651">
        <v>4800000</v>
      </c>
      <c r="AC127" s="651">
        <v>4800000</v>
      </c>
      <c r="AD127" s="651">
        <v>4800000</v>
      </c>
      <c r="AE127" s="651">
        <v>4800000</v>
      </c>
      <c r="AF127" s="651">
        <v>4800000</v>
      </c>
      <c r="AG127" s="651">
        <v>2400000</v>
      </c>
      <c r="AH127" s="651">
        <f t="shared" ref="AH127:AH186" si="88">SUM(V127:AG127)</f>
        <v>52800000</v>
      </c>
      <c r="AI127" s="652">
        <v>2421</v>
      </c>
      <c r="AJ127" s="653">
        <v>44209</v>
      </c>
      <c r="AK127" s="563">
        <v>52800000</v>
      </c>
      <c r="AL127" s="563">
        <f>52800000+22323333.33</f>
        <v>75123333.329999998</v>
      </c>
      <c r="AM127" s="563">
        <v>75123333.329999998</v>
      </c>
      <c r="AN127" s="654">
        <f t="shared" ref="AN127:AN137" si="89">+R127-AL127</f>
        <v>2150000</v>
      </c>
      <c r="AO127" s="654">
        <f t="shared" ref="AO127:AO137" si="90">+AL127-AM127</f>
        <v>0</v>
      </c>
      <c r="AP127" s="533">
        <f>R127-AL127+AO127</f>
        <v>2150000</v>
      </c>
      <c r="AQ127" s="440"/>
      <c r="AR127" s="285"/>
      <c r="AS127" s="285"/>
      <c r="AT127" s="285"/>
      <c r="AU127" s="285"/>
      <c r="AV127" s="285"/>
      <c r="AW127" s="285"/>
      <c r="AX127" s="285"/>
      <c r="AY127" s="285"/>
      <c r="AZ127" s="285"/>
      <c r="BA127" s="285"/>
      <c r="BB127" s="285"/>
      <c r="BC127" s="285"/>
      <c r="BD127" s="285"/>
      <c r="BE127" s="285"/>
      <c r="BF127" s="285"/>
      <c r="BG127" s="285"/>
      <c r="BH127" s="285"/>
      <c r="BI127" s="285"/>
      <c r="BJ127" s="285"/>
      <c r="BK127" s="285"/>
      <c r="BL127" s="285"/>
      <c r="BM127" s="285"/>
      <c r="BN127" s="285"/>
      <c r="BO127" s="285"/>
      <c r="BP127" s="285"/>
      <c r="BQ127" s="285"/>
      <c r="BR127" s="285"/>
      <c r="BS127" s="285"/>
      <c r="BT127" s="285"/>
      <c r="BU127" s="285"/>
      <c r="BV127" s="285"/>
    </row>
    <row r="128" spans="2:74" ht="75.75" customHeight="1" x14ac:dyDescent="0.2">
      <c r="B128" s="682"/>
      <c r="C128" s="683"/>
      <c r="D128" s="683"/>
      <c r="E128" s="683"/>
      <c r="F128" s="683"/>
      <c r="G128" s="683"/>
      <c r="H128" s="683"/>
      <c r="I128" s="683"/>
      <c r="J128" s="683"/>
      <c r="K128" s="447">
        <v>80101500</v>
      </c>
      <c r="L128" s="451" t="s">
        <v>258</v>
      </c>
      <c r="M128" s="134">
        <v>44206</v>
      </c>
      <c r="N128" s="134" t="s">
        <v>540</v>
      </c>
      <c r="O128" s="157" t="s">
        <v>486</v>
      </c>
      <c r="P128" s="157" t="s">
        <v>374</v>
      </c>
      <c r="Q128" s="101"/>
      <c r="R128" s="101">
        <f>52800000-7650000</f>
        <v>45150000</v>
      </c>
      <c r="S128" s="453" t="s">
        <v>386</v>
      </c>
      <c r="T128" s="449"/>
      <c r="U128" s="461" t="s">
        <v>254</v>
      </c>
      <c r="V128" s="650">
        <v>2400000</v>
      </c>
      <c r="W128" s="650">
        <v>4800000</v>
      </c>
      <c r="X128" s="651">
        <v>4800000</v>
      </c>
      <c r="Y128" s="651">
        <v>4800000</v>
      </c>
      <c r="Z128" s="651">
        <v>4800000</v>
      </c>
      <c r="AA128" s="651">
        <v>4800000</v>
      </c>
      <c r="AB128" s="651">
        <v>4800000</v>
      </c>
      <c r="AC128" s="651">
        <v>4800000</v>
      </c>
      <c r="AD128" s="651">
        <v>4800000</v>
      </c>
      <c r="AE128" s="651">
        <v>4800000</v>
      </c>
      <c r="AF128" s="651">
        <v>4800000</v>
      </c>
      <c r="AG128" s="651">
        <v>2400000</v>
      </c>
      <c r="AH128" s="651">
        <f t="shared" si="88"/>
        <v>52800000</v>
      </c>
      <c r="AI128" s="652">
        <v>5521</v>
      </c>
      <c r="AJ128" s="653">
        <v>44215</v>
      </c>
      <c r="AK128" s="563">
        <v>45150000</v>
      </c>
      <c r="AL128" s="563">
        <v>45150000</v>
      </c>
      <c r="AM128" s="563">
        <v>45150000</v>
      </c>
      <c r="AN128" s="654">
        <f t="shared" si="89"/>
        <v>0</v>
      </c>
      <c r="AO128" s="654">
        <f t="shared" si="90"/>
        <v>0</v>
      </c>
      <c r="AP128" s="533">
        <f t="shared" ref="AP128:AP136" si="91">R128-AL128+AO128</f>
        <v>0</v>
      </c>
      <c r="AQ128" s="440"/>
      <c r="AR128" s="285"/>
      <c r="AS128" s="285"/>
      <c r="AT128" s="285"/>
      <c r="AU128" s="285"/>
      <c r="AV128" s="285"/>
      <c r="AW128" s="285">
        <f>30+15+11</f>
        <v>56</v>
      </c>
      <c r="AX128" s="285"/>
      <c r="AY128" s="285"/>
      <c r="AZ128" s="285"/>
      <c r="BA128" s="285"/>
      <c r="BB128" s="285"/>
      <c r="BC128" s="285"/>
      <c r="BD128" s="285"/>
      <c r="BE128" s="285"/>
      <c r="BF128" s="285"/>
      <c r="BG128" s="285"/>
      <c r="BH128" s="285"/>
      <c r="BI128" s="285"/>
      <c r="BJ128" s="285"/>
      <c r="BK128" s="285"/>
      <c r="BL128" s="285"/>
      <c r="BM128" s="285"/>
      <c r="BN128" s="285"/>
      <c r="BO128" s="285"/>
      <c r="BP128" s="285"/>
      <c r="BQ128" s="285"/>
      <c r="BR128" s="285"/>
      <c r="BS128" s="285"/>
      <c r="BT128" s="285"/>
      <c r="BU128" s="285"/>
      <c r="BV128" s="285"/>
    </row>
    <row r="129" spans="2:74" s="440" customFormat="1" ht="45" customHeight="1" x14ac:dyDescent="0.2">
      <c r="B129" s="682"/>
      <c r="C129" s="683"/>
      <c r="D129" s="683"/>
      <c r="E129" s="683"/>
      <c r="F129" s="683"/>
      <c r="G129" s="683"/>
      <c r="H129" s="683"/>
      <c r="I129" s="683"/>
      <c r="J129" s="683"/>
      <c r="K129" s="450" t="s">
        <v>629</v>
      </c>
      <c r="L129" s="451" t="s">
        <v>211</v>
      </c>
      <c r="M129" s="134">
        <v>44437</v>
      </c>
      <c r="N129" s="134" t="s">
        <v>577</v>
      </c>
      <c r="O129" s="157" t="s">
        <v>487</v>
      </c>
      <c r="P129" s="157" t="s">
        <v>619</v>
      </c>
      <c r="Q129" s="101"/>
      <c r="R129" s="101">
        <v>7000000</v>
      </c>
      <c r="S129" s="453" t="s">
        <v>386</v>
      </c>
      <c r="T129" s="449"/>
      <c r="U129" s="461" t="s">
        <v>466</v>
      </c>
      <c r="V129" s="650"/>
      <c r="W129" s="650"/>
      <c r="X129" s="651"/>
      <c r="Y129" s="651"/>
      <c r="Z129" s="651"/>
      <c r="AA129" s="651"/>
      <c r="AB129" s="651"/>
      <c r="AC129" s="651"/>
      <c r="AD129" s="651"/>
      <c r="AE129" s="651"/>
      <c r="AF129" s="651">
        <v>7000000</v>
      </c>
      <c r="AG129" s="651"/>
      <c r="AH129" s="651">
        <f t="shared" si="88"/>
        <v>7000000</v>
      </c>
      <c r="AI129" s="652">
        <v>62521</v>
      </c>
      <c r="AJ129" s="653">
        <v>44426</v>
      </c>
      <c r="AK129" s="563">
        <v>7000000</v>
      </c>
      <c r="AL129" s="563">
        <v>4020000</v>
      </c>
      <c r="AM129" s="563">
        <v>4020000</v>
      </c>
      <c r="AN129" s="654">
        <f t="shared" si="89"/>
        <v>2980000</v>
      </c>
      <c r="AO129" s="654">
        <f t="shared" si="90"/>
        <v>0</v>
      </c>
      <c r="AP129" s="533">
        <f>R129-AL129+AO129</f>
        <v>2980000</v>
      </c>
      <c r="AR129" s="285"/>
      <c r="AS129" s="285"/>
      <c r="AT129" s="285"/>
      <c r="AU129" s="285"/>
      <c r="AV129" s="285"/>
      <c r="AW129" s="285"/>
      <c r="AX129" s="285"/>
      <c r="AY129" s="285"/>
      <c r="AZ129" s="285"/>
      <c r="BA129" s="285"/>
      <c r="BB129" s="285"/>
      <c r="BC129" s="285"/>
      <c r="BD129" s="285"/>
      <c r="BE129" s="285"/>
      <c r="BF129" s="285"/>
      <c r="BG129" s="285"/>
      <c r="BH129" s="285"/>
      <c r="BI129" s="285"/>
      <c r="BJ129" s="285"/>
      <c r="BK129" s="285"/>
      <c r="BL129" s="285"/>
      <c r="BM129" s="285"/>
      <c r="BN129" s="285"/>
      <c r="BO129" s="285"/>
      <c r="BP129" s="285"/>
      <c r="BQ129" s="285"/>
      <c r="BR129" s="285"/>
      <c r="BS129" s="285"/>
      <c r="BT129" s="285"/>
      <c r="BU129" s="285"/>
      <c r="BV129" s="285"/>
    </row>
    <row r="130" spans="2:74" s="440" customFormat="1" ht="83.25" customHeight="1" x14ac:dyDescent="0.2">
      <c r="B130" s="682"/>
      <c r="C130" s="683"/>
      <c r="D130" s="683"/>
      <c r="E130" s="683"/>
      <c r="F130" s="683"/>
      <c r="G130" s="683"/>
      <c r="H130" s="683"/>
      <c r="I130" s="683"/>
      <c r="J130" s="683"/>
      <c r="K130" s="447">
        <v>80101500</v>
      </c>
      <c r="L130" s="451" t="s">
        <v>193</v>
      </c>
      <c r="M130" s="134">
        <v>44206</v>
      </c>
      <c r="N130" s="134" t="s">
        <v>540</v>
      </c>
      <c r="O130" s="157" t="s">
        <v>486</v>
      </c>
      <c r="P130" s="157" t="s">
        <v>374</v>
      </c>
      <c r="Q130" s="101"/>
      <c r="R130" s="101">
        <f>52800000-40000000-12800000</f>
        <v>0</v>
      </c>
      <c r="S130" s="453" t="s">
        <v>386</v>
      </c>
      <c r="T130" s="439"/>
      <c r="U130" s="461" t="s">
        <v>479</v>
      </c>
      <c r="V130" s="650">
        <v>2400000</v>
      </c>
      <c r="W130" s="650">
        <v>4800000</v>
      </c>
      <c r="X130" s="651">
        <v>4800000</v>
      </c>
      <c r="Y130" s="651">
        <v>4800000</v>
      </c>
      <c r="Z130" s="651">
        <v>4800000</v>
      </c>
      <c r="AA130" s="651">
        <v>4800000</v>
      </c>
      <c r="AB130" s="651">
        <v>4800000</v>
      </c>
      <c r="AC130" s="651">
        <v>4800000</v>
      </c>
      <c r="AD130" s="651">
        <v>4800000</v>
      </c>
      <c r="AE130" s="651">
        <v>4800000</v>
      </c>
      <c r="AF130" s="651">
        <v>4800000</v>
      </c>
      <c r="AG130" s="651">
        <v>2400000</v>
      </c>
      <c r="AH130" s="651">
        <f t="shared" ref="AH130" si="92">SUM(V130:AG130)</f>
        <v>52800000</v>
      </c>
      <c r="AI130" s="652"/>
      <c r="AJ130" s="652">
        <v>0</v>
      </c>
      <c r="AK130" s="563">
        <v>0</v>
      </c>
      <c r="AL130" s="563">
        <v>0</v>
      </c>
      <c r="AM130" s="563">
        <v>0</v>
      </c>
      <c r="AN130" s="532">
        <f t="shared" si="89"/>
        <v>0</v>
      </c>
      <c r="AO130" s="532">
        <f t="shared" si="90"/>
        <v>0</v>
      </c>
      <c r="AP130" s="532">
        <f>R130-AL130+AO130</f>
        <v>0</v>
      </c>
      <c r="AR130" s="285"/>
      <c r="AS130" s="285"/>
      <c r="AT130" s="285"/>
      <c r="AU130" s="285"/>
      <c r="AV130" s="285"/>
      <c r="AW130" s="285"/>
      <c r="AX130" s="285"/>
      <c r="AY130" s="285"/>
      <c r="AZ130" s="285"/>
      <c r="BA130" s="285"/>
      <c r="BB130" s="285"/>
      <c r="BC130" s="285"/>
      <c r="BD130" s="285"/>
      <c r="BE130" s="285"/>
      <c r="BF130" s="285"/>
      <c r="BG130" s="285"/>
      <c r="BH130" s="285"/>
      <c r="BI130" s="285"/>
      <c r="BJ130" s="285"/>
      <c r="BK130" s="285"/>
      <c r="BL130" s="285"/>
      <c r="BM130" s="285"/>
      <c r="BN130" s="285"/>
      <c r="BO130" s="285"/>
      <c r="BP130" s="285"/>
      <c r="BQ130" s="285"/>
      <c r="BR130" s="285"/>
      <c r="BS130" s="285"/>
      <c r="BT130" s="285"/>
      <c r="BU130" s="285"/>
      <c r="BV130" s="285"/>
    </row>
    <row r="131" spans="2:74" s="649" customFormat="1" ht="120" x14ac:dyDescent="0.2">
      <c r="B131" s="682"/>
      <c r="C131" s="683"/>
      <c r="D131" s="683"/>
      <c r="E131" s="683"/>
      <c r="F131" s="683"/>
      <c r="G131" s="683"/>
      <c r="H131" s="683"/>
      <c r="I131" s="683"/>
      <c r="J131" s="683"/>
      <c r="K131" s="447">
        <v>80101500</v>
      </c>
      <c r="L131" s="451" t="s">
        <v>658</v>
      </c>
      <c r="M131" s="134">
        <v>44433</v>
      </c>
      <c r="N131" s="134" t="s">
        <v>576</v>
      </c>
      <c r="O131" s="157" t="s">
        <v>618</v>
      </c>
      <c r="P131" s="157" t="s">
        <v>374</v>
      </c>
      <c r="Q131" s="101"/>
      <c r="R131" s="101">
        <f>17500000-1500000+4500000+4816000-1513333.33</f>
        <v>23802666.670000002</v>
      </c>
      <c r="S131" s="453" t="s">
        <v>386</v>
      </c>
      <c r="T131" s="449"/>
      <c r="U131" s="461" t="s">
        <v>617</v>
      </c>
      <c r="V131" s="650"/>
      <c r="W131" s="650"/>
      <c r="X131" s="651"/>
      <c r="Y131" s="651"/>
      <c r="Z131" s="651"/>
      <c r="AA131" s="651"/>
      <c r="AB131" s="651">
        <v>1750000</v>
      </c>
      <c r="AC131" s="651">
        <v>3500000</v>
      </c>
      <c r="AD131" s="651">
        <v>3500000</v>
      </c>
      <c r="AE131" s="651">
        <v>3500000</v>
      </c>
      <c r="AF131" s="651">
        <v>3500000</v>
      </c>
      <c r="AG131" s="651">
        <v>1750000</v>
      </c>
      <c r="AH131" s="651">
        <f>SUM(V131:AG131)</f>
        <v>17500000</v>
      </c>
      <c r="AI131" s="652">
        <v>78921</v>
      </c>
      <c r="AJ131" s="653">
        <v>44476</v>
      </c>
      <c r="AK131" s="563">
        <v>20000000</v>
      </c>
      <c r="AL131" s="563">
        <v>20000000</v>
      </c>
      <c r="AM131" s="563">
        <v>20000000</v>
      </c>
      <c r="AN131" s="654">
        <f t="shared" si="89"/>
        <v>3802666.6700000018</v>
      </c>
      <c r="AO131" s="654">
        <f t="shared" si="90"/>
        <v>0</v>
      </c>
      <c r="AP131" s="533">
        <f t="shared" ref="AP131" si="93">R131-AL131+AO131</f>
        <v>3802666.6700000018</v>
      </c>
      <c r="AQ131" s="440"/>
      <c r="AR131" s="548"/>
      <c r="AS131" s="285"/>
      <c r="AT131" s="285"/>
      <c r="AU131" s="285"/>
      <c r="AV131" s="285"/>
      <c r="AW131" s="285"/>
      <c r="AX131" s="285"/>
      <c r="AY131" s="285"/>
      <c r="AZ131" s="285"/>
      <c r="BA131" s="285"/>
      <c r="BB131" s="285"/>
      <c r="BC131" s="285"/>
      <c r="BD131" s="285"/>
      <c r="BE131" s="285"/>
      <c r="BF131" s="285"/>
      <c r="BG131" s="285"/>
      <c r="BH131" s="285"/>
      <c r="BI131" s="285"/>
      <c r="BJ131" s="285"/>
      <c r="BK131" s="285"/>
      <c r="BL131" s="285"/>
      <c r="BM131" s="285"/>
      <c r="BN131" s="285"/>
      <c r="BO131" s="285"/>
      <c r="BP131" s="285"/>
      <c r="BQ131" s="285"/>
      <c r="BR131" s="285"/>
      <c r="BS131" s="285"/>
      <c r="BT131" s="285"/>
      <c r="BU131" s="285"/>
      <c r="BV131" s="285"/>
    </row>
    <row r="132" spans="2:74" s="440" customFormat="1" ht="75" customHeight="1" x14ac:dyDescent="0.2">
      <c r="B132" s="682"/>
      <c r="C132" s="683"/>
      <c r="D132" s="683"/>
      <c r="E132" s="683"/>
      <c r="F132" s="683"/>
      <c r="G132" s="683"/>
      <c r="H132" s="683"/>
      <c r="I132" s="683"/>
      <c r="J132" s="683"/>
      <c r="K132" s="447">
        <v>80101500</v>
      </c>
      <c r="L132" s="451" t="s">
        <v>585</v>
      </c>
      <c r="M132" s="134">
        <v>44206</v>
      </c>
      <c r="N132" s="134" t="s">
        <v>540</v>
      </c>
      <c r="O132" s="157" t="s">
        <v>491</v>
      </c>
      <c r="P132" s="157" t="s">
        <v>374</v>
      </c>
      <c r="Q132" s="101"/>
      <c r="R132" s="101">
        <f>12650000-10000</f>
        <v>12640000</v>
      </c>
      <c r="S132" s="453" t="s">
        <v>386</v>
      </c>
      <c r="T132" s="449"/>
      <c r="U132" s="461" t="s">
        <v>466</v>
      </c>
      <c r="V132" s="497"/>
      <c r="W132" s="497">
        <v>2300000</v>
      </c>
      <c r="X132" s="498">
        <v>2300000</v>
      </c>
      <c r="Y132" s="498">
        <v>2300000</v>
      </c>
      <c r="Z132" s="498">
        <v>2300000</v>
      </c>
      <c r="AA132" s="498">
        <v>2300000</v>
      </c>
      <c r="AB132" s="498">
        <v>1150000</v>
      </c>
      <c r="AC132" s="498"/>
      <c r="AD132" s="498"/>
      <c r="AE132" s="498"/>
      <c r="AF132" s="498"/>
      <c r="AG132" s="498"/>
      <c r="AH132" s="501">
        <f t="shared" si="88"/>
        <v>12650000</v>
      </c>
      <c r="AI132" s="535">
        <v>11021</v>
      </c>
      <c r="AJ132" s="538">
        <v>44229</v>
      </c>
      <c r="AK132" s="536">
        <v>12650000</v>
      </c>
      <c r="AL132" s="536">
        <v>12640000</v>
      </c>
      <c r="AM132" s="536">
        <v>12640000</v>
      </c>
      <c r="AN132" s="532">
        <f t="shared" si="89"/>
        <v>0</v>
      </c>
      <c r="AO132" s="532">
        <f t="shared" si="90"/>
        <v>0</v>
      </c>
      <c r="AP132" s="532">
        <f t="shared" si="91"/>
        <v>0</v>
      </c>
      <c r="AR132" s="285"/>
      <c r="AS132" s="285"/>
      <c r="AT132" s="285"/>
      <c r="AU132" s="285"/>
      <c r="AV132" s="285"/>
      <c r="AW132" s="285"/>
      <c r="AX132" s="285"/>
      <c r="AY132" s="285"/>
      <c r="AZ132" s="285"/>
      <c r="BA132" s="285"/>
      <c r="BB132" s="285"/>
      <c r="BC132" s="285"/>
      <c r="BD132" s="285"/>
      <c r="BE132" s="285"/>
      <c r="BF132" s="285"/>
      <c r="BG132" s="285"/>
      <c r="BH132" s="285"/>
      <c r="BI132" s="285"/>
      <c r="BJ132" s="285"/>
      <c r="BK132" s="285"/>
      <c r="BL132" s="285"/>
      <c r="BM132" s="285"/>
      <c r="BN132" s="285"/>
      <c r="BO132" s="285"/>
      <c r="BP132" s="285"/>
      <c r="BQ132" s="285"/>
      <c r="BR132" s="285"/>
      <c r="BS132" s="285"/>
      <c r="BT132" s="285"/>
      <c r="BU132" s="285"/>
      <c r="BV132" s="285"/>
    </row>
    <row r="133" spans="2:74" s="440" customFormat="1" ht="45" customHeight="1" x14ac:dyDescent="0.2">
      <c r="B133" s="682"/>
      <c r="C133" s="683"/>
      <c r="D133" s="683"/>
      <c r="E133" s="683"/>
      <c r="F133" s="683"/>
      <c r="G133" s="683"/>
      <c r="H133" s="683"/>
      <c r="I133" s="683"/>
      <c r="J133" s="683"/>
      <c r="K133" s="447">
        <v>80101500</v>
      </c>
      <c r="L133" s="451" t="s">
        <v>502</v>
      </c>
      <c r="M133" s="134">
        <v>44268</v>
      </c>
      <c r="N133" s="134" t="s">
        <v>574</v>
      </c>
      <c r="O133" s="157" t="s">
        <v>503</v>
      </c>
      <c r="P133" s="157" t="s">
        <v>374</v>
      </c>
      <c r="Q133" s="101"/>
      <c r="R133" s="101">
        <f>4500000-4500000</f>
        <v>0</v>
      </c>
      <c r="S133" s="453" t="s">
        <v>386</v>
      </c>
      <c r="T133" s="449"/>
      <c r="U133" s="461" t="s">
        <v>466</v>
      </c>
      <c r="V133" s="497"/>
      <c r="W133" s="497"/>
      <c r="X133" s="498"/>
      <c r="Y133" s="498"/>
      <c r="Z133" s="498"/>
      <c r="AA133" s="498"/>
      <c r="AB133" s="498"/>
      <c r="AC133" s="498">
        <v>4500000</v>
      </c>
      <c r="AD133" s="498"/>
      <c r="AE133" s="498"/>
      <c r="AF133" s="498"/>
      <c r="AG133" s="498"/>
      <c r="AH133" s="501">
        <f t="shared" si="88"/>
        <v>4500000</v>
      </c>
      <c r="AI133" s="535"/>
      <c r="AJ133" s="535">
        <v>0</v>
      </c>
      <c r="AK133" s="536">
        <v>0</v>
      </c>
      <c r="AL133" s="536">
        <v>0</v>
      </c>
      <c r="AM133" s="536">
        <v>0</v>
      </c>
      <c r="AN133" s="532">
        <f t="shared" si="89"/>
        <v>0</v>
      </c>
      <c r="AO133" s="532">
        <f t="shared" si="90"/>
        <v>0</v>
      </c>
      <c r="AP133" s="532">
        <f t="shared" si="91"/>
        <v>0</v>
      </c>
      <c r="AR133" s="548"/>
      <c r="AS133" s="285"/>
      <c r="AT133" s="285"/>
      <c r="AU133" s="285"/>
      <c r="AV133" s="285"/>
      <c r="AW133" s="285"/>
      <c r="AX133" s="285"/>
      <c r="AY133" s="285"/>
      <c r="AZ133" s="285"/>
      <c r="BA133" s="285"/>
      <c r="BB133" s="285"/>
      <c r="BC133" s="285"/>
      <c r="BD133" s="285"/>
      <c r="BE133" s="285"/>
      <c r="BF133" s="285"/>
      <c r="BG133" s="285"/>
      <c r="BH133" s="285"/>
      <c r="BI133" s="285"/>
      <c r="BJ133" s="285"/>
      <c r="BK133" s="285"/>
      <c r="BL133" s="285"/>
      <c r="BM133" s="285"/>
      <c r="BN133" s="285"/>
      <c r="BO133" s="285"/>
      <c r="BP133" s="285"/>
      <c r="BQ133" s="285"/>
      <c r="BR133" s="285"/>
      <c r="BS133" s="285"/>
      <c r="BT133" s="285"/>
      <c r="BU133" s="285"/>
      <c r="BV133" s="285"/>
    </row>
    <row r="134" spans="2:74" ht="30" customHeight="1" x14ac:dyDescent="0.2">
      <c r="B134" s="682"/>
      <c r="C134" s="683"/>
      <c r="D134" s="683"/>
      <c r="E134" s="683"/>
      <c r="F134" s="683"/>
      <c r="G134" s="683"/>
      <c r="H134" s="683"/>
      <c r="I134" s="683"/>
      <c r="J134" s="683"/>
      <c r="K134" s="447">
        <v>80101500</v>
      </c>
      <c r="L134" s="451" t="s">
        <v>260</v>
      </c>
      <c r="M134" s="134">
        <v>44411</v>
      </c>
      <c r="N134" s="134" t="s">
        <v>576</v>
      </c>
      <c r="O134" s="157" t="s">
        <v>495</v>
      </c>
      <c r="P134" s="157" t="s">
        <v>338</v>
      </c>
      <c r="Q134" s="101"/>
      <c r="R134" s="101">
        <f>9000000+3000000</f>
        <v>12000000</v>
      </c>
      <c r="S134" s="453" t="s">
        <v>386</v>
      </c>
      <c r="T134" s="449"/>
      <c r="U134" s="461" t="s">
        <v>466</v>
      </c>
      <c r="V134" s="497"/>
      <c r="W134" s="497"/>
      <c r="X134" s="498"/>
      <c r="Y134" s="498"/>
      <c r="Z134" s="498"/>
      <c r="AA134" s="498"/>
      <c r="AB134" s="498"/>
      <c r="AC134" s="498"/>
      <c r="AD134" s="498"/>
      <c r="AE134" s="498"/>
      <c r="AF134" s="498">
        <v>9000000</v>
      </c>
      <c r="AG134" s="498"/>
      <c r="AH134" s="501">
        <f t="shared" si="88"/>
        <v>9000000</v>
      </c>
      <c r="AI134" s="535">
        <v>63221</v>
      </c>
      <c r="AJ134" s="538">
        <v>44425</v>
      </c>
      <c r="AK134" s="536">
        <v>9000000</v>
      </c>
      <c r="AL134" s="536">
        <v>9948400</v>
      </c>
      <c r="AM134" s="536">
        <v>9948400</v>
      </c>
      <c r="AN134" s="532">
        <f t="shared" si="89"/>
        <v>2051600</v>
      </c>
      <c r="AO134" s="547">
        <f t="shared" si="90"/>
        <v>0</v>
      </c>
      <c r="AP134" s="533">
        <f t="shared" si="91"/>
        <v>2051600</v>
      </c>
      <c r="AQ134" s="527"/>
      <c r="AR134" s="285"/>
      <c r="AS134" s="285"/>
      <c r="AT134" s="285"/>
      <c r="AU134" s="285"/>
      <c r="AV134" s="285"/>
      <c r="AW134" s="285"/>
      <c r="AX134" s="285"/>
      <c r="AY134" s="285"/>
      <c r="AZ134" s="285"/>
      <c r="BA134" s="285"/>
      <c r="BB134" s="285"/>
      <c r="BC134" s="285"/>
      <c r="BD134" s="285"/>
      <c r="BE134" s="285"/>
      <c r="BF134" s="285"/>
      <c r="BG134" s="285"/>
      <c r="BH134" s="285"/>
      <c r="BI134" s="285"/>
      <c r="BJ134" s="285"/>
      <c r="BK134" s="285"/>
      <c r="BL134" s="285"/>
      <c r="BM134" s="285"/>
      <c r="BN134" s="285"/>
      <c r="BO134" s="285"/>
      <c r="BP134" s="285"/>
      <c r="BQ134" s="285"/>
      <c r="BR134" s="285"/>
      <c r="BS134" s="285"/>
      <c r="BT134" s="285"/>
      <c r="BU134" s="285"/>
      <c r="BV134" s="285"/>
    </row>
    <row r="135" spans="2:74" s="394" customFormat="1" ht="93.75" customHeight="1" x14ac:dyDescent="0.2">
      <c r="B135" s="682"/>
      <c r="C135" s="683"/>
      <c r="D135" s="683"/>
      <c r="E135" s="683"/>
      <c r="F135" s="683"/>
      <c r="G135" s="683"/>
      <c r="H135" s="683"/>
      <c r="I135" s="683"/>
      <c r="J135" s="683"/>
      <c r="K135" s="447">
        <v>80101500</v>
      </c>
      <c r="L135" s="451" t="s">
        <v>633</v>
      </c>
      <c r="M135" s="134">
        <v>44206</v>
      </c>
      <c r="N135" s="134" t="s">
        <v>540</v>
      </c>
      <c r="O135" s="157" t="s">
        <v>486</v>
      </c>
      <c r="P135" s="157" t="s">
        <v>374</v>
      </c>
      <c r="Q135" s="101"/>
      <c r="R135" s="448">
        <f>4800000+40000000-4816000</f>
        <v>39984000</v>
      </c>
      <c r="S135" s="453" t="s">
        <v>386</v>
      </c>
      <c r="T135" s="449"/>
      <c r="U135" s="461" t="s">
        <v>291</v>
      </c>
      <c r="V135" s="497"/>
      <c r="W135" s="497">
        <v>4800000</v>
      </c>
      <c r="X135" s="498"/>
      <c r="Y135" s="498"/>
      <c r="Z135" s="498"/>
      <c r="AA135" s="498"/>
      <c r="AB135" s="498"/>
      <c r="AC135" s="498"/>
      <c r="AD135" s="498"/>
      <c r="AE135" s="498"/>
      <c r="AF135" s="498"/>
      <c r="AG135" s="498"/>
      <c r="AH135" s="501">
        <f t="shared" si="88"/>
        <v>4800000</v>
      </c>
      <c r="AI135" s="535">
        <v>36621</v>
      </c>
      <c r="AJ135" s="538">
        <v>44308</v>
      </c>
      <c r="AK135" s="536">
        <v>44800000</v>
      </c>
      <c r="AL135" s="536">
        <v>39984000</v>
      </c>
      <c r="AM135" s="536">
        <v>39984000</v>
      </c>
      <c r="AN135" s="532">
        <f t="shared" si="89"/>
        <v>0</v>
      </c>
      <c r="AO135" s="532">
        <f t="shared" si="90"/>
        <v>0</v>
      </c>
      <c r="AP135" s="532">
        <f t="shared" si="91"/>
        <v>0</v>
      </c>
      <c r="AQ135" s="440"/>
      <c r="AR135" s="285"/>
      <c r="AS135" s="285"/>
      <c r="AT135" s="285"/>
      <c r="AU135" s="285"/>
      <c r="AV135" s="285"/>
      <c r="AW135" s="285"/>
      <c r="AX135" s="285"/>
      <c r="AY135" s="285"/>
      <c r="AZ135" s="285"/>
      <c r="BA135" s="285"/>
      <c r="BB135" s="285"/>
      <c r="BC135" s="285"/>
      <c r="BD135" s="285"/>
      <c r="BE135" s="285"/>
      <c r="BF135" s="285"/>
      <c r="BG135" s="285"/>
      <c r="BH135" s="285"/>
      <c r="BI135" s="285"/>
      <c r="BJ135" s="285"/>
      <c r="BK135" s="285"/>
      <c r="BL135" s="285"/>
      <c r="BM135" s="285"/>
      <c r="BN135" s="285"/>
      <c r="BO135" s="285"/>
      <c r="BP135" s="285"/>
      <c r="BQ135" s="285"/>
      <c r="BR135" s="285"/>
      <c r="BS135" s="285"/>
      <c r="BT135" s="285"/>
      <c r="BU135" s="285"/>
      <c r="BV135" s="285"/>
    </row>
    <row r="136" spans="2:74" ht="45" customHeight="1" x14ac:dyDescent="0.2">
      <c r="B136" s="682"/>
      <c r="C136" s="683"/>
      <c r="D136" s="683"/>
      <c r="E136" s="683"/>
      <c r="F136" s="683"/>
      <c r="G136" s="683"/>
      <c r="H136" s="683"/>
      <c r="I136" s="683"/>
      <c r="J136" s="683"/>
      <c r="K136" s="450">
        <v>80101500</v>
      </c>
      <c r="L136" s="451" t="s">
        <v>480</v>
      </c>
      <c r="M136" s="134">
        <v>44206</v>
      </c>
      <c r="N136" s="134" t="s">
        <v>540</v>
      </c>
      <c r="O136" s="157" t="s">
        <v>486</v>
      </c>
      <c r="P136" s="157" t="s">
        <v>374</v>
      </c>
      <c r="Q136" s="101"/>
      <c r="R136" s="448">
        <f>(2300000*11)-6300000</f>
        <v>19000000</v>
      </c>
      <c r="S136" s="453" t="s">
        <v>386</v>
      </c>
      <c r="T136" s="449"/>
      <c r="U136" s="461" t="s">
        <v>291</v>
      </c>
      <c r="V136" s="650"/>
      <c r="W136" s="497">
        <v>2300000</v>
      </c>
      <c r="X136" s="498">
        <v>2300000</v>
      </c>
      <c r="Y136" s="498">
        <v>2300000</v>
      </c>
      <c r="Z136" s="498">
        <v>2300000</v>
      </c>
      <c r="AA136" s="498">
        <v>2300000</v>
      </c>
      <c r="AB136" s="498">
        <v>2300000</v>
      </c>
      <c r="AC136" s="498">
        <v>2300000</v>
      </c>
      <c r="AD136" s="498">
        <v>2300000</v>
      </c>
      <c r="AE136" s="498">
        <v>2300000</v>
      </c>
      <c r="AF136" s="498">
        <v>2300000</v>
      </c>
      <c r="AG136" s="498">
        <v>2300000</v>
      </c>
      <c r="AH136" s="501">
        <f t="shared" si="88"/>
        <v>25300000</v>
      </c>
      <c r="AI136" s="535">
        <v>9221</v>
      </c>
      <c r="AJ136" s="538">
        <v>44222</v>
      </c>
      <c r="AK136" s="536">
        <v>19000000</v>
      </c>
      <c r="AL136" s="536">
        <v>19000000</v>
      </c>
      <c r="AM136" s="536">
        <v>19000000</v>
      </c>
      <c r="AN136" s="532">
        <f t="shared" si="89"/>
        <v>0</v>
      </c>
      <c r="AO136" s="532">
        <f t="shared" si="90"/>
        <v>0</v>
      </c>
      <c r="AP136" s="532">
        <f t="shared" si="91"/>
        <v>0</v>
      </c>
      <c r="AQ136" s="440"/>
      <c r="AR136" s="285"/>
      <c r="AS136" s="285"/>
      <c r="AT136" s="285"/>
      <c r="AU136" s="285"/>
      <c r="AV136" s="285"/>
      <c r="AW136" s="285"/>
      <c r="AX136" s="285"/>
      <c r="AY136" s="285"/>
      <c r="AZ136" s="285"/>
      <c r="BA136" s="285"/>
      <c r="BB136" s="285"/>
      <c r="BC136" s="285"/>
      <c r="BD136" s="285"/>
      <c r="BE136" s="285"/>
      <c r="BF136" s="285"/>
      <c r="BG136" s="285"/>
      <c r="BH136" s="285"/>
      <c r="BI136" s="285"/>
      <c r="BJ136" s="285"/>
      <c r="BK136" s="285"/>
      <c r="BL136" s="285"/>
      <c r="BM136" s="285"/>
      <c r="BN136" s="285"/>
      <c r="BO136" s="285"/>
      <c r="BP136" s="285"/>
      <c r="BQ136" s="285"/>
      <c r="BR136" s="285"/>
      <c r="BS136" s="285"/>
      <c r="BT136" s="285"/>
      <c r="BU136" s="285"/>
      <c r="BV136" s="285"/>
    </row>
    <row r="137" spans="2:74" ht="60" customHeight="1" x14ac:dyDescent="0.2">
      <c r="B137" s="682"/>
      <c r="C137" s="683"/>
      <c r="D137" s="683"/>
      <c r="E137" s="683"/>
      <c r="F137" s="683"/>
      <c r="G137" s="683"/>
      <c r="H137" s="683"/>
      <c r="I137" s="683"/>
      <c r="J137" s="683"/>
      <c r="K137" s="177">
        <v>80101500</v>
      </c>
      <c r="L137" s="451" t="s">
        <v>478</v>
      </c>
      <c r="M137" s="134">
        <v>44423</v>
      </c>
      <c r="N137" s="134" t="s">
        <v>576</v>
      </c>
      <c r="O137" s="157" t="s">
        <v>615</v>
      </c>
      <c r="P137" s="157" t="s">
        <v>374</v>
      </c>
      <c r="Q137" s="434"/>
      <c r="R137" s="101">
        <f>20900000-20900000+1500000</f>
        <v>1500000</v>
      </c>
      <c r="S137" s="453" t="s">
        <v>386</v>
      </c>
      <c r="T137" s="399"/>
      <c r="U137" s="253" t="s">
        <v>274</v>
      </c>
      <c r="V137" s="497">
        <v>950000</v>
      </c>
      <c r="W137" s="497">
        <v>1900000</v>
      </c>
      <c r="X137" s="498">
        <v>1900000</v>
      </c>
      <c r="Y137" s="498">
        <v>1900000</v>
      </c>
      <c r="Z137" s="498">
        <v>1900000</v>
      </c>
      <c r="AA137" s="498">
        <v>1900000</v>
      </c>
      <c r="AB137" s="498">
        <v>1900000</v>
      </c>
      <c r="AC137" s="498">
        <v>1900000</v>
      </c>
      <c r="AD137" s="498">
        <v>1900000</v>
      </c>
      <c r="AE137" s="498">
        <v>1900000</v>
      </c>
      <c r="AF137" s="498">
        <v>1900000</v>
      </c>
      <c r="AG137" s="498">
        <v>950000</v>
      </c>
      <c r="AH137" s="501">
        <f t="shared" si="88"/>
        <v>20900000</v>
      </c>
      <c r="AI137" s="535">
        <v>65521</v>
      </c>
      <c r="AJ137" s="538">
        <v>44426</v>
      </c>
      <c r="AK137" s="536">
        <v>1500000</v>
      </c>
      <c r="AL137" s="536">
        <v>1500000</v>
      </c>
      <c r="AM137" s="536">
        <v>1500000</v>
      </c>
      <c r="AN137" s="532">
        <f t="shared" si="89"/>
        <v>0</v>
      </c>
      <c r="AO137" s="532">
        <f t="shared" si="90"/>
        <v>0</v>
      </c>
      <c r="AP137" s="532">
        <f t="shared" ref="AP137:AP139" si="94">R137-AL137+AO137</f>
        <v>0</v>
      </c>
      <c r="AQ137" s="440"/>
      <c r="AR137" s="285"/>
      <c r="AS137" s="285"/>
      <c r="AT137" s="285"/>
      <c r="AU137" s="285"/>
      <c r="AV137" s="285"/>
      <c r="AW137" s="285"/>
      <c r="AX137" s="285"/>
      <c r="AY137" s="285"/>
      <c r="AZ137" s="285"/>
      <c r="BA137" s="285"/>
      <c r="BB137" s="285"/>
      <c r="BC137" s="285"/>
      <c r="BD137" s="285"/>
      <c r="BE137" s="285"/>
      <c r="BF137" s="285"/>
      <c r="BG137" s="285"/>
      <c r="BH137" s="285"/>
      <c r="BI137" s="285"/>
      <c r="BJ137" s="285"/>
      <c r="BK137" s="285"/>
      <c r="BL137" s="285"/>
      <c r="BM137" s="285"/>
      <c r="BN137" s="285"/>
      <c r="BO137" s="285"/>
      <c r="BP137" s="285"/>
      <c r="BQ137" s="285"/>
      <c r="BR137" s="285"/>
      <c r="BS137" s="285"/>
      <c r="BT137" s="285"/>
      <c r="BU137" s="285"/>
      <c r="BV137" s="285"/>
    </row>
    <row r="138" spans="2:74" ht="46.5" customHeight="1" x14ac:dyDescent="0.2">
      <c r="B138" s="397" t="s">
        <v>7</v>
      </c>
      <c r="C138" s="395" t="s">
        <v>20</v>
      </c>
      <c r="D138" s="395" t="s">
        <v>20</v>
      </c>
      <c r="E138" s="395" t="s">
        <v>20</v>
      </c>
      <c r="F138" s="395" t="s">
        <v>16</v>
      </c>
      <c r="G138" s="395" t="s">
        <v>11</v>
      </c>
      <c r="H138" s="395" t="s">
        <v>8</v>
      </c>
      <c r="I138" s="395" t="s">
        <v>22</v>
      </c>
      <c r="J138" s="405"/>
      <c r="K138" s="397"/>
      <c r="L138" s="404" t="s">
        <v>97</v>
      </c>
      <c r="M138" s="133"/>
      <c r="N138" s="133"/>
      <c r="O138" s="156"/>
      <c r="P138" s="159"/>
      <c r="Q138" s="434">
        <v>7000000</v>
      </c>
      <c r="R138" s="5">
        <f>SUM(R139:R139)</f>
        <v>6760000</v>
      </c>
      <c r="S138" s="181"/>
      <c r="T138" s="396"/>
      <c r="U138" s="245"/>
      <c r="V138" s="497">
        <f>SUM(V139:V139)</f>
        <v>0</v>
      </c>
      <c r="W138" s="497">
        <f>SUM(W139:W139)</f>
        <v>0</v>
      </c>
      <c r="X138" s="498">
        <f>SUM(X139:X139)</f>
        <v>0</v>
      </c>
      <c r="Y138" s="498">
        <f>SUM(Y139:Y139)</f>
        <v>0</v>
      </c>
      <c r="Z138" s="498">
        <f>SUM(Z139:Z139)</f>
        <v>0</v>
      </c>
      <c r="AA138" s="498">
        <f t="shared" ref="AA138:AG138" si="95">SUM(AA139:AA139)</f>
        <v>0</v>
      </c>
      <c r="AB138" s="498">
        <f t="shared" si="95"/>
        <v>0</v>
      </c>
      <c r="AC138" s="498">
        <f t="shared" si="95"/>
        <v>0</v>
      </c>
      <c r="AD138" s="498">
        <f t="shared" si="95"/>
        <v>0</v>
      </c>
      <c r="AE138" s="498">
        <f t="shared" si="95"/>
        <v>0</v>
      </c>
      <c r="AF138" s="498">
        <f t="shared" si="95"/>
        <v>6760000</v>
      </c>
      <c r="AG138" s="498">
        <f t="shared" si="95"/>
        <v>0</v>
      </c>
      <c r="AH138" s="501">
        <f t="shared" si="88"/>
        <v>6760000</v>
      </c>
      <c r="AI138" s="535"/>
      <c r="AJ138" s="535"/>
      <c r="AK138" s="536"/>
      <c r="AL138" s="536"/>
      <c r="AM138" s="536"/>
      <c r="AP138" s="440"/>
      <c r="AQ138" s="440"/>
      <c r="AR138" s="285"/>
      <c r="AS138" s="285"/>
      <c r="AT138" s="285"/>
      <c r="AU138" s="285"/>
      <c r="AV138" s="285"/>
      <c r="AW138" s="285"/>
      <c r="AX138" s="285"/>
      <c r="AY138" s="285"/>
      <c r="AZ138" s="285"/>
      <c r="BA138" s="285"/>
      <c r="BB138" s="285"/>
      <c r="BC138" s="285"/>
      <c r="BD138" s="285"/>
      <c r="BE138" s="285"/>
      <c r="BF138" s="285"/>
      <c r="BG138" s="285"/>
      <c r="BH138" s="285"/>
      <c r="BI138" s="285"/>
      <c r="BJ138" s="285"/>
      <c r="BK138" s="285"/>
      <c r="BL138" s="285"/>
      <c r="BM138" s="285"/>
      <c r="BN138" s="285"/>
      <c r="BO138" s="285"/>
      <c r="BP138" s="285"/>
      <c r="BQ138" s="285"/>
      <c r="BR138" s="285"/>
      <c r="BS138" s="285"/>
      <c r="BT138" s="285"/>
      <c r="BU138" s="285"/>
      <c r="BV138" s="285"/>
    </row>
    <row r="139" spans="2:74" ht="30" x14ac:dyDescent="0.2">
      <c r="B139" s="677"/>
      <c r="C139" s="678"/>
      <c r="D139" s="678"/>
      <c r="E139" s="678"/>
      <c r="F139" s="678"/>
      <c r="G139" s="678"/>
      <c r="H139" s="678"/>
      <c r="I139" s="678"/>
      <c r="J139" s="678"/>
      <c r="K139" s="398">
        <v>80101500</v>
      </c>
      <c r="L139" s="451" t="s">
        <v>400</v>
      </c>
      <c r="M139" s="134">
        <v>44470</v>
      </c>
      <c r="N139" s="134" t="s">
        <v>578</v>
      </c>
      <c r="O139" s="157" t="s">
        <v>331</v>
      </c>
      <c r="P139" s="157" t="s">
        <v>374</v>
      </c>
      <c r="Q139" s="434"/>
      <c r="R139" s="564">
        <v>6760000</v>
      </c>
      <c r="S139" s="402" t="s">
        <v>386</v>
      </c>
      <c r="T139" s="399"/>
      <c r="U139" s="253" t="s">
        <v>194</v>
      </c>
      <c r="V139" s="497"/>
      <c r="W139" s="497"/>
      <c r="X139" s="498"/>
      <c r="Y139" s="498"/>
      <c r="Z139" s="498"/>
      <c r="AA139" s="498"/>
      <c r="AB139" s="498"/>
      <c r="AC139" s="498"/>
      <c r="AD139" s="498"/>
      <c r="AE139" s="498"/>
      <c r="AF139" s="498">
        <v>6760000</v>
      </c>
      <c r="AG139" s="498"/>
      <c r="AH139" s="501">
        <f t="shared" si="88"/>
        <v>6760000</v>
      </c>
      <c r="AI139" s="535">
        <v>89821</v>
      </c>
      <c r="AJ139" s="538">
        <v>44505</v>
      </c>
      <c r="AK139" s="536">
        <v>6760000</v>
      </c>
      <c r="AL139" s="536">
        <v>6600000</v>
      </c>
      <c r="AM139" s="536">
        <v>6600000</v>
      </c>
      <c r="AN139" s="532">
        <f>+R139-AL139</f>
        <v>160000</v>
      </c>
      <c r="AO139" s="547">
        <f>+AL139-AM139</f>
        <v>0</v>
      </c>
      <c r="AP139" s="533">
        <f t="shared" si="94"/>
        <v>160000</v>
      </c>
      <c r="AQ139" s="440"/>
      <c r="AR139" s="285"/>
      <c r="AS139" s="285"/>
      <c r="AT139" s="285"/>
      <c r="AU139" s="285"/>
      <c r="AV139" s="285"/>
      <c r="AW139" s="285"/>
      <c r="AX139" s="285"/>
      <c r="AY139" s="285"/>
      <c r="AZ139" s="285"/>
      <c r="BA139" s="285"/>
      <c r="BB139" s="285"/>
      <c r="BC139" s="285"/>
      <c r="BD139" s="285"/>
      <c r="BE139" s="285"/>
      <c r="BF139" s="285"/>
      <c r="BG139" s="285"/>
      <c r="BH139" s="285"/>
      <c r="BI139" s="285"/>
      <c r="BJ139" s="285"/>
      <c r="BK139" s="285"/>
      <c r="BL139" s="285"/>
      <c r="BM139" s="285"/>
      <c r="BN139" s="285"/>
      <c r="BO139" s="285"/>
      <c r="BP139" s="285"/>
      <c r="BQ139" s="285"/>
      <c r="BR139" s="285"/>
      <c r="BS139" s="285"/>
      <c r="BT139" s="285"/>
      <c r="BU139" s="285"/>
      <c r="BV139" s="285"/>
    </row>
    <row r="140" spans="2:74" ht="31.5" customHeight="1" x14ac:dyDescent="0.2">
      <c r="B140" s="397" t="s">
        <v>7</v>
      </c>
      <c r="C140" s="395" t="s">
        <v>20</v>
      </c>
      <c r="D140" s="395" t="s">
        <v>20</v>
      </c>
      <c r="E140" s="395" t="s">
        <v>20</v>
      </c>
      <c r="F140" s="395" t="s">
        <v>16</v>
      </c>
      <c r="G140" s="395" t="s">
        <v>11</v>
      </c>
      <c r="H140" s="395" t="s">
        <v>8</v>
      </c>
      <c r="I140" s="395" t="s">
        <v>32</v>
      </c>
      <c r="J140" s="405"/>
      <c r="K140" s="397"/>
      <c r="L140" s="404" t="s">
        <v>98</v>
      </c>
      <c r="M140" s="133"/>
      <c r="N140" s="133"/>
      <c r="O140" s="156"/>
      <c r="P140" s="156"/>
      <c r="Q140" s="434">
        <f>240500000+23000000</f>
        <v>263500000</v>
      </c>
      <c r="R140" s="5">
        <f>SUM(R141:R148)</f>
        <v>247700000</v>
      </c>
      <c r="S140" s="181"/>
      <c r="T140" s="396"/>
      <c r="U140" s="245"/>
      <c r="V140" s="497">
        <f t="shared" ref="V140:AG140" si="96">SUM(V141:V148)</f>
        <v>2429000</v>
      </c>
      <c r="W140" s="497">
        <f t="shared" si="96"/>
        <v>11429000</v>
      </c>
      <c r="X140" s="498">
        <f t="shared" si="96"/>
        <v>16429000</v>
      </c>
      <c r="Y140" s="498">
        <f t="shared" si="96"/>
        <v>16429000</v>
      </c>
      <c r="Z140" s="498">
        <f t="shared" si="96"/>
        <v>21079000</v>
      </c>
      <c r="AA140" s="498">
        <f t="shared" si="96"/>
        <v>16429000</v>
      </c>
      <c r="AB140" s="498">
        <f t="shared" si="96"/>
        <v>16426000</v>
      </c>
      <c r="AC140" s="498">
        <f t="shared" si="96"/>
        <v>56000000</v>
      </c>
      <c r="AD140" s="498">
        <f t="shared" si="96"/>
        <v>56000000</v>
      </c>
      <c r="AE140" s="498">
        <f t="shared" si="96"/>
        <v>16000000</v>
      </c>
      <c r="AF140" s="498">
        <f t="shared" si="96"/>
        <v>20650000</v>
      </c>
      <c r="AG140" s="498">
        <f t="shared" si="96"/>
        <v>16000000</v>
      </c>
      <c r="AH140" s="501">
        <f t="shared" si="88"/>
        <v>265300000</v>
      </c>
      <c r="AI140" s="535"/>
      <c r="AJ140" s="535"/>
      <c r="AK140" s="536"/>
      <c r="AL140" s="536"/>
      <c r="AM140" s="536"/>
      <c r="AQ140" s="440"/>
      <c r="AR140" s="285"/>
      <c r="AS140" s="285"/>
      <c r="AT140" s="285"/>
      <c r="AU140" s="285"/>
      <c r="AV140" s="285"/>
      <c r="AW140" s="285"/>
      <c r="AX140" s="285"/>
      <c r="AY140" s="285"/>
      <c r="AZ140" s="285"/>
      <c r="BA140" s="285"/>
      <c r="BB140" s="285"/>
      <c r="BC140" s="285"/>
      <c r="BD140" s="285"/>
      <c r="BE140" s="285"/>
      <c r="BF140" s="285"/>
      <c r="BG140" s="285"/>
      <c r="BH140" s="285"/>
      <c r="BI140" s="285"/>
      <c r="BJ140" s="285"/>
      <c r="BK140" s="285"/>
      <c r="BL140" s="285"/>
      <c r="BM140" s="285"/>
      <c r="BN140" s="285"/>
      <c r="BO140" s="285"/>
      <c r="BP140" s="285"/>
      <c r="BQ140" s="285"/>
      <c r="BR140" s="285"/>
      <c r="BS140" s="285"/>
      <c r="BT140" s="285"/>
      <c r="BU140" s="285"/>
      <c r="BV140" s="285"/>
    </row>
    <row r="141" spans="2:74" ht="51" customHeight="1" x14ac:dyDescent="0.2">
      <c r="B141" s="682"/>
      <c r="C141" s="683"/>
      <c r="D141" s="683"/>
      <c r="E141" s="683"/>
      <c r="F141" s="683"/>
      <c r="G141" s="683"/>
      <c r="H141" s="683"/>
      <c r="I141" s="683"/>
      <c r="J141" s="683"/>
      <c r="K141" s="176" t="s">
        <v>308</v>
      </c>
      <c r="L141" s="401" t="s">
        <v>468</v>
      </c>
      <c r="M141" s="135"/>
      <c r="N141" s="135"/>
      <c r="O141" s="158" t="s">
        <v>485</v>
      </c>
      <c r="P141" s="158"/>
      <c r="Q141" s="434"/>
      <c r="R141" s="111">
        <f>17000000+6740000</f>
        <v>23740000</v>
      </c>
      <c r="S141" s="184"/>
      <c r="T141" s="112"/>
      <c r="U141" s="254" t="s">
        <v>181</v>
      </c>
      <c r="V141" s="497">
        <v>2429000</v>
      </c>
      <c r="W141" s="497">
        <v>2429000</v>
      </c>
      <c r="X141" s="498">
        <v>2429000</v>
      </c>
      <c r="Y141" s="498">
        <v>2429000</v>
      </c>
      <c r="Z141" s="498">
        <v>2429000</v>
      </c>
      <c r="AA141" s="498">
        <v>2429000</v>
      </c>
      <c r="AB141" s="498">
        <f>2429000-3000</f>
        <v>2426000</v>
      </c>
      <c r="AC141" s="498"/>
      <c r="AD141" s="498"/>
      <c r="AE141" s="498"/>
      <c r="AF141" s="498"/>
      <c r="AG141" s="498"/>
      <c r="AH141" s="501">
        <f t="shared" si="88"/>
        <v>17000000</v>
      </c>
      <c r="AI141" s="535">
        <v>1421</v>
      </c>
      <c r="AJ141" s="538">
        <v>44208</v>
      </c>
      <c r="AK141" s="536">
        <v>13296036</v>
      </c>
      <c r="AL141" s="536">
        <f>13296036+10000000</f>
        <v>23296036</v>
      </c>
      <c r="AM141" s="536">
        <v>23296036</v>
      </c>
      <c r="AN141" s="532">
        <f>+R141-AL141</f>
        <v>443964</v>
      </c>
      <c r="AO141" s="532">
        <f>+AL141-AM141</f>
        <v>0</v>
      </c>
      <c r="AP141" s="533">
        <f>R141-AL141+AO141</f>
        <v>443964</v>
      </c>
      <c r="AQ141" s="440"/>
      <c r="AR141" s="285"/>
      <c r="AS141" s="285"/>
      <c r="AT141" s="285"/>
      <c r="AU141" s="285"/>
      <c r="AV141" s="285"/>
      <c r="AW141" s="285"/>
      <c r="AX141" s="285"/>
      <c r="AY141" s="285"/>
      <c r="AZ141" s="285"/>
      <c r="BA141" s="285"/>
      <c r="BB141" s="285"/>
      <c r="BC141" s="285"/>
      <c r="BD141" s="285"/>
      <c r="BE141" s="285"/>
      <c r="BF141" s="285"/>
      <c r="BG141" s="285"/>
      <c r="BH141" s="285"/>
      <c r="BI141" s="285"/>
      <c r="BJ141" s="285"/>
      <c r="BK141" s="285"/>
      <c r="BL141" s="285"/>
      <c r="BM141" s="285"/>
      <c r="BN141" s="285"/>
      <c r="BO141" s="285"/>
      <c r="BP141" s="285"/>
      <c r="BQ141" s="285"/>
      <c r="BR141" s="285"/>
      <c r="BS141" s="285"/>
      <c r="BT141" s="285"/>
      <c r="BU141" s="285"/>
      <c r="BV141" s="285"/>
    </row>
    <row r="142" spans="2:74" ht="45" customHeight="1" x14ac:dyDescent="0.2">
      <c r="B142" s="682"/>
      <c r="C142" s="683"/>
      <c r="D142" s="683"/>
      <c r="E142" s="683"/>
      <c r="F142" s="683"/>
      <c r="G142" s="683"/>
      <c r="H142" s="683"/>
      <c r="I142" s="683"/>
      <c r="J142" s="683"/>
      <c r="K142" s="177" t="s">
        <v>308</v>
      </c>
      <c r="L142" s="451" t="s">
        <v>552</v>
      </c>
      <c r="M142" s="134">
        <v>44331</v>
      </c>
      <c r="N142" s="134" t="s">
        <v>575</v>
      </c>
      <c r="O142" s="157" t="s">
        <v>501</v>
      </c>
      <c r="P142" s="157" t="s">
        <v>318</v>
      </c>
      <c r="Q142" s="434"/>
      <c r="R142" s="101">
        <v>10000000</v>
      </c>
      <c r="S142" s="402" t="s">
        <v>322</v>
      </c>
      <c r="T142" s="101">
        <f>15000000+R142</f>
        <v>25000000</v>
      </c>
      <c r="U142" s="253" t="s">
        <v>181</v>
      </c>
      <c r="V142" s="497"/>
      <c r="W142" s="497"/>
      <c r="X142" s="498"/>
      <c r="Y142" s="498"/>
      <c r="Z142" s="498"/>
      <c r="AA142" s="498"/>
      <c r="AB142" s="498"/>
      <c r="AC142" s="498">
        <v>2000000</v>
      </c>
      <c r="AD142" s="498">
        <v>2000000</v>
      </c>
      <c r="AE142" s="498">
        <v>2000000</v>
      </c>
      <c r="AF142" s="498">
        <v>2000000</v>
      </c>
      <c r="AG142" s="498">
        <v>2000000</v>
      </c>
      <c r="AH142" s="501">
        <f t="shared" si="88"/>
        <v>10000000</v>
      </c>
      <c r="AI142" s="535"/>
      <c r="AJ142" s="535"/>
      <c r="AK142" s="536"/>
      <c r="AL142" s="536"/>
      <c r="AM142" s="536"/>
      <c r="AQ142" s="440"/>
      <c r="AR142" s="285"/>
      <c r="AS142" s="285"/>
      <c r="AT142" s="285"/>
      <c r="AU142" s="285"/>
      <c r="AV142" s="285"/>
      <c r="AW142" s="285"/>
      <c r="AX142" s="285"/>
      <c r="AY142" s="285"/>
      <c r="AZ142" s="285"/>
      <c r="BA142" s="285"/>
      <c r="BB142" s="285"/>
      <c r="BC142" s="285"/>
      <c r="BD142" s="285"/>
      <c r="BE142" s="285"/>
      <c r="BF142" s="285"/>
      <c r="BG142" s="285"/>
      <c r="BH142" s="285"/>
      <c r="BI142" s="285"/>
      <c r="BJ142" s="285"/>
      <c r="BK142" s="285"/>
      <c r="BL142" s="285"/>
      <c r="BM142" s="285"/>
      <c r="BN142" s="285"/>
      <c r="BO142" s="285"/>
      <c r="BP142" s="285"/>
      <c r="BQ142" s="285"/>
      <c r="BR142" s="285"/>
      <c r="BS142" s="285"/>
      <c r="BT142" s="285"/>
      <c r="BU142" s="285"/>
      <c r="BV142" s="285"/>
    </row>
    <row r="143" spans="2:74" ht="30" customHeight="1" x14ac:dyDescent="0.2">
      <c r="B143" s="682"/>
      <c r="C143" s="683"/>
      <c r="D143" s="683"/>
      <c r="E143" s="683"/>
      <c r="F143" s="683"/>
      <c r="G143" s="683"/>
      <c r="H143" s="683"/>
      <c r="I143" s="683"/>
      <c r="J143" s="683"/>
      <c r="K143" s="177">
        <v>81111500</v>
      </c>
      <c r="L143" s="451" t="s">
        <v>550</v>
      </c>
      <c r="M143" s="134">
        <v>44206</v>
      </c>
      <c r="N143" s="134" t="s">
        <v>540</v>
      </c>
      <c r="O143" s="157" t="s">
        <v>305</v>
      </c>
      <c r="P143" s="157" t="s">
        <v>374</v>
      </c>
      <c r="Q143" s="434"/>
      <c r="R143" s="101">
        <f>52800000-5500000-6150000</f>
        <v>41150000</v>
      </c>
      <c r="S143" s="453" t="s">
        <v>386</v>
      </c>
      <c r="T143" s="101"/>
      <c r="U143" s="253" t="s">
        <v>181</v>
      </c>
      <c r="V143" s="497"/>
      <c r="W143" s="497">
        <v>4800000</v>
      </c>
      <c r="X143" s="498">
        <v>4800000</v>
      </c>
      <c r="Y143" s="498">
        <v>4800000</v>
      </c>
      <c r="Z143" s="498">
        <v>4800000</v>
      </c>
      <c r="AA143" s="498">
        <v>4800000</v>
      </c>
      <c r="AB143" s="498">
        <v>4800000</v>
      </c>
      <c r="AC143" s="498">
        <v>4800000</v>
      </c>
      <c r="AD143" s="498">
        <v>4800000</v>
      </c>
      <c r="AE143" s="498">
        <v>4800000</v>
      </c>
      <c r="AF143" s="498">
        <v>4800000</v>
      </c>
      <c r="AG143" s="498">
        <v>4800000</v>
      </c>
      <c r="AH143" s="501">
        <f t="shared" si="88"/>
        <v>52800000</v>
      </c>
      <c r="AI143" s="535">
        <v>6821</v>
      </c>
      <c r="AJ143" s="538">
        <v>44218</v>
      </c>
      <c r="AK143" s="536">
        <v>41150000</v>
      </c>
      <c r="AL143" s="536">
        <v>41150000</v>
      </c>
      <c r="AM143" s="536">
        <v>41150000</v>
      </c>
      <c r="AN143" s="532">
        <f t="shared" ref="AN143:AN148" si="97">+R143-AL143</f>
        <v>0</v>
      </c>
      <c r="AO143" s="532">
        <f t="shared" ref="AO143:AO148" si="98">+AL143-AM143</f>
        <v>0</v>
      </c>
      <c r="AP143" s="532">
        <f t="shared" ref="AP143:AP148" si="99">R143-AL143+AO143</f>
        <v>0</v>
      </c>
      <c r="AQ143" s="440"/>
      <c r="AR143" s="285"/>
      <c r="AS143" s="285"/>
      <c r="AT143" s="285"/>
      <c r="AU143" s="285"/>
      <c r="AV143" s="285"/>
      <c r="AW143" s="285"/>
      <c r="AX143" s="285"/>
      <c r="AY143" s="285"/>
      <c r="AZ143" s="285"/>
      <c r="BA143" s="285"/>
      <c r="BB143" s="285"/>
      <c r="BC143" s="285"/>
      <c r="BD143" s="285"/>
      <c r="BE143" s="285"/>
      <c r="BF143" s="285"/>
      <c r="BG143" s="285"/>
      <c r="BH143" s="285"/>
      <c r="BI143" s="285"/>
      <c r="BJ143" s="285"/>
      <c r="BK143" s="285"/>
      <c r="BL143" s="285"/>
      <c r="BM143" s="285"/>
      <c r="BN143" s="285"/>
      <c r="BO143" s="285"/>
      <c r="BP143" s="285"/>
      <c r="BQ143" s="285"/>
      <c r="BR143" s="285"/>
      <c r="BS143" s="285"/>
      <c r="BT143" s="285"/>
      <c r="BU143" s="285"/>
      <c r="BV143" s="285"/>
    </row>
    <row r="144" spans="2:74" ht="30" customHeight="1" x14ac:dyDescent="0.2">
      <c r="B144" s="682"/>
      <c r="C144" s="683"/>
      <c r="D144" s="683"/>
      <c r="E144" s="683"/>
      <c r="F144" s="683"/>
      <c r="G144" s="683"/>
      <c r="H144" s="683"/>
      <c r="I144" s="683"/>
      <c r="J144" s="683"/>
      <c r="K144" s="398">
        <v>81111500</v>
      </c>
      <c r="L144" s="400" t="s">
        <v>551</v>
      </c>
      <c r="M144" s="134">
        <v>44206</v>
      </c>
      <c r="N144" s="134" t="s">
        <v>540</v>
      </c>
      <c r="O144" s="157" t="s">
        <v>305</v>
      </c>
      <c r="P144" s="157" t="s">
        <v>374</v>
      </c>
      <c r="Q144" s="434"/>
      <c r="R144" s="101">
        <f>46200000-12100000</f>
        <v>34100000</v>
      </c>
      <c r="S144" s="453" t="s">
        <v>386</v>
      </c>
      <c r="T144" s="399"/>
      <c r="U144" s="253" t="s">
        <v>181</v>
      </c>
      <c r="V144" s="497"/>
      <c r="W144" s="497">
        <v>4200000</v>
      </c>
      <c r="X144" s="498">
        <v>4200000</v>
      </c>
      <c r="Y144" s="498">
        <v>4200000</v>
      </c>
      <c r="Z144" s="498">
        <v>4200000</v>
      </c>
      <c r="AA144" s="498">
        <v>4200000</v>
      </c>
      <c r="AB144" s="498">
        <v>4200000</v>
      </c>
      <c r="AC144" s="498">
        <v>4200000</v>
      </c>
      <c r="AD144" s="498">
        <v>4200000</v>
      </c>
      <c r="AE144" s="498">
        <v>4200000</v>
      </c>
      <c r="AF144" s="498">
        <v>4200000</v>
      </c>
      <c r="AG144" s="498">
        <v>4200000</v>
      </c>
      <c r="AH144" s="501">
        <f t="shared" si="88"/>
        <v>46200000</v>
      </c>
      <c r="AI144" s="535">
        <v>9721</v>
      </c>
      <c r="AJ144" s="538">
        <v>44223</v>
      </c>
      <c r="AK144" s="536">
        <v>34100000</v>
      </c>
      <c r="AL144" s="536">
        <v>34100000</v>
      </c>
      <c r="AM144" s="536">
        <v>34100000</v>
      </c>
      <c r="AN144" s="532">
        <f t="shared" si="97"/>
        <v>0</v>
      </c>
      <c r="AO144" s="532">
        <f t="shared" si="98"/>
        <v>0</v>
      </c>
      <c r="AP144" s="532">
        <f t="shared" si="99"/>
        <v>0</v>
      </c>
      <c r="AQ144" s="440"/>
      <c r="AR144" s="285"/>
      <c r="AS144" s="285"/>
      <c r="AT144" s="285"/>
      <c r="AU144" s="285"/>
      <c r="AV144" s="285"/>
      <c r="AW144" s="285"/>
      <c r="AX144" s="285"/>
      <c r="AY144" s="285"/>
      <c r="AZ144" s="285"/>
      <c r="BA144" s="285"/>
      <c r="BB144" s="285"/>
      <c r="BC144" s="285"/>
      <c r="BD144" s="285"/>
      <c r="BE144" s="285"/>
      <c r="BF144" s="285"/>
      <c r="BG144" s="285"/>
      <c r="BH144" s="285"/>
      <c r="BI144" s="285"/>
      <c r="BJ144" s="285"/>
      <c r="BK144" s="285"/>
      <c r="BL144" s="285"/>
      <c r="BM144" s="285"/>
      <c r="BN144" s="285"/>
      <c r="BO144" s="285"/>
      <c r="BP144" s="285"/>
      <c r="BQ144" s="285"/>
      <c r="BR144" s="285"/>
      <c r="BS144" s="285"/>
      <c r="BT144" s="285"/>
      <c r="BU144" s="285"/>
      <c r="BV144" s="285"/>
    </row>
    <row r="145" spans="2:74" ht="30" customHeight="1" x14ac:dyDescent="0.2">
      <c r="B145" s="682"/>
      <c r="C145" s="683"/>
      <c r="D145" s="683"/>
      <c r="E145" s="683"/>
      <c r="F145" s="683"/>
      <c r="G145" s="683"/>
      <c r="H145" s="683"/>
      <c r="I145" s="683"/>
      <c r="J145" s="683"/>
      <c r="K145" s="398">
        <v>82112200</v>
      </c>
      <c r="L145" s="400" t="s">
        <v>176</v>
      </c>
      <c r="M145" s="134">
        <v>44242</v>
      </c>
      <c r="N145" s="134" t="s">
        <v>539</v>
      </c>
      <c r="O145" s="157" t="s">
        <v>299</v>
      </c>
      <c r="P145" s="157" t="s">
        <v>338</v>
      </c>
      <c r="Q145" s="434"/>
      <c r="R145" s="101">
        <f>9300000-111700</f>
        <v>9188300</v>
      </c>
      <c r="S145" s="453" t="s">
        <v>386</v>
      </c>
      <c r="T145" s="399"/>
      <c r="U145" s="253" t="s">
        <v>181</v>
      </c>
      <c r="V145" s="497"/>
      <c r="W145" s="497"/>
      <c r="X145" s="498"/>
      <c r="Y145" s="498"/>
      <c r="Z145" s="498">
        <v>4650000</v>
      </c>
      <c r="AA145" s="498"/>
      <c r="AB145" s="498"/>
      <c r="AC145" s="498"/>
      <c r="AD145" s="498"/>
      <c r="AE145" s="498"/>
      <c r="AF145" s="498">
        <v>4650000</v>
      </c>
      <c r="AG145" s="498"/>
      <c r="AH145" s="501">
        <f t="shared" si="88"/>
        <v>9300000</v>
      </c>
      <c r="AI145" s="535">
        <v>13221</v>
      </c>
      <c r="AJ145" s="538">
        <v>44231</v>
      </c>
      <c r="AK145" s="536">
        <v>9300000</v>
      </c>
      <c r="AL145" s="536">
        <v>9188300</v>
      </c>
      <c r="AM145" s="536">
        <v>9188300</v>
      </c>
      <c r="AN145" s="532">
        <f t="shared" si="97"/>
        <v>0</v>
      </c>
      <c r="AO145" s="532">
        <f t="shared" si="98"/>
        <v>0</v>
      </c>
      <c r="AP145" s="532">
        <f t="shared" si="99"/>
        <v>0</v>
      </c>
      <c r="AQ145" s="440"/>
      <c r="AR145" s="285"/>
      <c r="AS145" s="285"/>
      <c r="AT145" s="285"/>
      <c r="AU145" s="285"/>
      <c r="AV145" s="285"/>
      <c r="AW145" s="285"/>
      <c r="AX145" s="285"/>
      <c r="AY145" s="285"/>
      <c r="AZ145" s="285"/>
      <c r="BA145" s="285"/>
      <c r="BB145" s="285"/>
      <c r="BC145" s="285"/>
      <c r="BD145" s="285"/>
      <c r="BE145" s="285"/>
      <c r="BF145" s="285"/>
      <c r="BG145" s="285"/>
      <c r="BH145" s="285"/>
      <c r="BI145" s="285"/>
      <c r="BJ145" s="285"/>
      <c r="BK145" s="285"/>
      <c r="BL145" s="285"/>
      <c r="BM145" s="285"/>
      <c r="BN145" s="285"/>
      <c r="BO145" s="285"/>
      <c r="BP145" s="285"/>
      <c r="BQ145" s="285"/>
      <c r="BR145" s="285"/>
      <c r="BS145" s="285"/>
      <c r="BT145" s="285"/>
      <c r="BU145" s="285"/>
      <c r="BV145" s="285"/>
    </row>
    <row r="146" spans="2:74" ht="30" customHeight="1" x14ac:dyDescent="0.2">
      <c r="B146" s="682"/>
      <c r="C146" s="683"/>
      <c r="D146" s="683"/>
      <c r="E146" s="683"/>
      <c r="F146" s="683"/>
      <c r="G146" s="683"/>
      <c r="H146" s="683"/>
      <c r="I146" s="683"/>
      <c r="J146" s="683"/>
      <c r="K146" s="398">
        <v>82112200</v>
      </c>
      <c r="L146" s="400" t="s">
        <v>233</v>
      </c>
      <c r="M146" s="134">
        <v>44362</v>
      </c>
      <c r="N146" s="134" t="s">
        <v>579</v>
      </c>
      <c r="O146" s="157" t="s">
        <v>311</v>
      </c>
      <c r="P146" s="157" t="s">
        <v>338</v>
      </c>
      <c r="Q146" s="434"/>
      <c r="R146" s="101">
        <f>40000000</f>
        <v>40000000</v>
      </c>
      <c r="S146" s="453" t="s">
        <v>386</v>
      </c>
      <c r="T146" s="399"/>
      <c r="U146" s="253" t="s">
        <v>181</v>
      </c>
      <c r="V146" s="497"/>
      <c r="W146" s="497"/>
      <c r="X146" s="498"/>
      <c r="Y146" s="498"/>
      <c r="Z146" s="498"/>
      <c r="AA146" s="498"/>
      <c r="AB146" s="498"/>
      <c r="AC146" s="498">
        <v>40000000</v>
      </c>
      <c r="AD146" s="498"/>
      <c r="AE146" s="498"/>
      <c r="AF146" s="498"/>
      <c r="AG146" s="498"/>
      <c r="AH146" s="501">
        <f t="shared" si="88"/>
        <v>40000000</v>
      </c>
      <c r="AI146" s="535">
        <v>52021</v>
      </c>
      <c r="AJ146" s="538">
        <v>44369</v>
      </c>
      <c r="AK146" s="536">
        <v>40000000</v>
      </c>
      <c r="AL146" s="536">
        <v>37631208</v>
      </c>
      <c r="AM146" s="536">
        <v>37631208</v>
      </c>
      <c r="AN146" s="532">
        <f t="shared" si="97"/>
        <v>2368792</v>
      </c>
      <c r="AO146" s="532">
        <f t="shared" si="98"/>
        <v>0</v>
      </c>
      <c r="AP146" s="533">
        <f t="shared" si="99"/>
        <v>2368792</v>
      </c>
      <c r="AQ146" s="440"/>
      <c r="AR146" s="285"/>
      <c r="AS146" s="285"/>
      <c r="AT146" s="285"/>
      <c r="AU146" s="285"/>
      <c r="AV146" s="285"/>
      <c r="AW146" s="285"/>
      <c r="AX146" s="285"/>
      <c r="AY146" s="285"/>
      <c r="AZ146" s="285"/>
      <c r="BA146" s="285"/>
      <c r="BB146" s="285"/>
      <c r="BC146" s="285"/>
      <c r="BD146" s="285"/>
      <c r="BE146" s="285"/>
      <c r="BF146" s="285"/>
      <c r="BG146" s="285"/>
      <c r="BH146" s="285"/>
      <c r="BI146" s="285"/>
      <c r="BJ146" s="285"/>
      <c r="BK146" s="285"/>
      <c r="BL146" s="285"/>
      <c r="BM146" s="285"/>
      <c r="BN146" s="285"/>
      <c r="BO146" s="285"/>
      <c r="BP146" s="285"/>
      <c r="BQ146" s="285"/>
      <c r="BR146" s="285"/>
      <c r="BS146" s="285"/>
      <c r="BT146" s="285"/>
      <c r="BU146" s="285"/>
      <c r="BV146" s="285"/>
    </row>
    <row r="147" spans="2:74" ht="30" customHeight="1" x14ac:dyDescent="0.2">
      <c r="B147" s="682"/>
      <c r="C147" s="683"/>
      <c r="D147" s="683"/>
      <c r="E147" s="683"/>
      <c r="F147" s="683"/>
      <c r="G147" s="683"/>
      <c r="H147" s="683"/>
      <c r="I147" s="683"/>
      <c r="J147" s="683"/>
      <c r="K147" s="398">
        <v>82112200</v>
      </c>
      <c r="L147" s="400" t="s">
        <v>177</v>
      </c>
      <c r="M147" s="134">
        <v>44409</v>
      </c>
      <c r="N147" s="134" t="s">
        <v>576</v>
      </c>
      <c r="O147" s="157" t="s">
        <v>301</v>
      </c>
      <c r="P147" s="157" t="s">
        <v>338</v>
      </c>
      <c r="Q147" s="434"/>
      <c r="R147" s="101">
        <v>40000000</v>
      </c>
      <c r="S147" s="453" t="s">
        <v>386</v>
      </c>
      <c r="T147" s="399"/>
      <c r="U147" s="253" t="s">
        <v>181</v>
      </c>
      <c r="V147" s="497"/>
      <c r="W147" s="497"/>
      <c r="X147" s="498"/>
      <c r="Y147" s="498"/>
      <c r="Z147" s="498"/>
      <c r="AA147" s="498"/>
      <c r="AB147" s="498"/>
      <c r="AC147" s="498"/>
      <c r="AD147" s="498">
        <v>40000000</v>
      </c>
      <c r="AE147" s="498"/>
      <c r="AF147" s="498"/>
      <c r="AG147" s="498"/>
      <c r="AH147" s="501">
        <f t="shared" si="88"/>
        <v>40000000</v>
      </c>
      <c r="AI147" s="535">
        <v>62921</v>
      </c>
      <c r="AJ147" s="538">
        <v>44421</v>
      </c>
      <c r="AK147" s="536">
        <v>40000000</v>
      </c>
      <c r="AL147" s="536">
        <v>33061122.039999999</v>
      </c>
      <c r="AM147" s="536">
        <v>33061122.039999999</v>
      </c>
      <c r="AN147" s="532">
        <f t="shared" si="97"/>
        <v>6938877.9600000009</v>
      </c>
      <c r="AO147" s="532">
        <f t="shared" si="98"/>
        <v>0</v>
      </c>
      <c r="AP147" s="533">
        <f t="shared" si="99"/>
        <v>6938877.9600000009</v>
      </c>
      <c r="AQ147" s="440"/>
      <c r="AR147" s="285"/>
      <c r="AS147" s="285"/>
      <c r="AT147" s="285"/>
      <c r="AU147" s="285"/>
      <c r="AV147" s="285"/>
      <c r="AW147" s="285"/>
      <c r="AX147" s="285"/>
      <c r="AY147" s="285"/>
      <c r="AZ147" s="285"/>
      <c r="BA147" s="285"/>
      <c r="BB147" s="285"/>
      <c r="BC147" s="285"/>
      <c r="BD147" s="285"/>
      <c r="BE147" s="285"/>
      <c r="BF147" s="285"/>
      <c r="BG147" s="285"/>
      <c r="BH147" s="285"/>
      <c r="BI147" s="285"/>
      <c r="BJ147" s="285"/>
      <c r="BK147" s="285"/>
      <c r="BL147" s="285"/>
      <c r="BM147" s="285"/>
      <c r="BN147" s="285"/>
      <c r="BO147" s="285"/>
      <c r="BP147" s="285"/>
      <c r="BQ147" s="285"/>
      <c r="BR147" s="285"/>
      <c r="BS147" s="285"/>
      <c r="BT147" s="285"/>
      <c r="BU147" s="285"/>
      <c r="BV147" s="285"/>
    </row>
    <row r="148" spans="2:74" ht="45" customHeight="1" x14ac:dyDescent="0.2">
      <c r="B148" s="682"/>
      <c r="C148" s="683"/>
      <c r="D148" s="683"/>
      <c r="E148" s="683"/>
      <c r="F148" s="683"/>
      <c r="G148" s="683"/>
      <c r="H148" s="683"/>
      <c r="I148" s="683"/>
      <c r="J148" s="683"/>
      <c r="K148" s="398">
        <v>43222501</v>
      </c>
      <c r="L148" s="400" t="s">
        <v>180</v>
      </c>
      <c r="M148" s="134">
        <v>44242</v>
      </c>
      <c r="N148" s="134" t="s">
        <v>539</v>
      </c>
      <c r="O148" s="157" t="s">
        <v>299</v>
      </c>
      <c r="P148" s="157" t="s">
        <v>319</v>
      </c>
      <c r="Q148" s="434"/>
      <c r="R148" s="101">
        <f>50000000-478300</f>
        <v>49521700</v>
      </c>
      <c r="S148" s="453" t="s">
        <v>386</v>
      </c>
      <c r="T148" s="399"/>
      <c r="U148" s="253" t="s">
        <v>181</v>
      </c>
      <c r="V148" s="497"/>
      <c r="W148" s="497"/>
      <c r="X148" s="498">
        <v>5000000</v>
      </c>
      <c r="Y148" s="498">
        <v>5000000</v>
      </c>
      <c r="Z148" s="498">
        <v>5000000</v>
      </c>
      <c r="AA148" s="498">
        <v>5000000</v>
      </c>
      <c r="AB148" s="498">
        <v>5000000</v>
      </c>
      <c r="AC148" s="498">
        <v>5000000</v>
      </c>
      <c r="AD148" s="498">
        <v>5000000</v>
      </c>
      <c r="AE148" s="498">
        <v>5000000</v>
      </c>
      <c r="AF148" s="498">
        <v>5000000</v>
      </c>
      <c r="AG148" s="498">
        <v>5000000</v>
      </c>
      <c r="AH148" s="501">
        <f t="shared" si="88"/>
        <v>50000000</v>
      </c>
      <c r="AI148" s="535">
        <v>13921</v>
      </c>
      <c r="AJ148" s="538">
        <v>44236</v>
      </c>
      <c r="AK148" s="536">
        <v>50000000</v>
      </c>
      <c r="AL148" s="536">
        <v>48889960</v>
      </c>
      <c r="AM148" s="536">
        <v>48889960</v>
      </c>
      <c r="AN148" s="532">
        <f t="shared" si="97"/>
        <v>631740</v>
      </c>
      <c r="AO148" s="532">
        <f t="shared" si="98"/>
        <v>0</v>
      </c>
      <c r="AP148" s="533">
        <f t="shared" si="99"/>
        <v>631740</v>
      </c>
      <c r="AQ148" s="440"/>
      <c r="AR148" s="285"/>
      <c r="AS148" s="285"/>
      <c r="AT148" s="285"/>
      <c r="AU148" s="285"/>
      <c r="AV148" s="285"/>
      <c r="AW148" s="285"/>
      <c r="AX148" s="285"/>
      <c r="AY148" s="285"/>
      <c r="AZ148" s="285"/>
      <c r="BA148" s="285"/>
      <c r="BB148" s="285"/>
      <c r="BC148" s="285"/>
      <c r="BD148" s="285"/>
      <c r="BE148" s="285"/>
      <c r="BF148" s="285"/>
      <c r="BG148" s="285"/>
      <c r="BH148" s="285"/>
      <c r="BI148" s="285"/>
      <c r="BJ148" s="285"/>
      <c r="BK148" s="285"/>
      <c r="BL148" s="285"/>
      <c r="BM148" s="285"/>
      <c r="BN148" s="285"/>
      <c r="BO148" s="285"/>
      <c r="BP148" s="285"/>
      <c r="BQ148" s="285"/>
      <c r="BR148" s="285"/>
      <c r="BS148" s="285"/>
      <c r="BT148" s="285"/>
      <c r="BU148" s="285"/>
      <c r="BV148" s="285"/>
    </row>
    <row r="149" spans="2:74" ht="33.75" customHeight="1" x14ac:dyDescent="0.2">
      <c r="B149" s="397" t="s">
        <v>7</v>
      </c>
      <c r="C149" s="395" t="s">
        <v>20</v>
      </c>
      <c r="D149" s="395" t="s">
        <v>20</v>
      </c>
      <c r="E149" s="395" t="s">
        <v>20</v>
      </c>
      <c r="F149" s="395" t="s">
        <v>16</v>
      </c>
      <c r="G149" s="395" t="s">
        <v>11</v>
      </c>
      <c r="H149" s="395" t="s">
        <v>8</v>
      </c>
      <c r="I149" s="395" t="s">
        <v>33</v>
      </c>
      <c r="J149" s="405"/>
      <c r="K149" s="397"/>
      <c r="L149" s="404" t="s">
        <v>99</v>
      </c>
      <c r="M149" s="133"/>
      <c r="N149" s="133"/>
      <c r="O149" s="156"/>
      <c r="P149" s="156"/>
      <c r="Q149" s="434">
        <v>48400000</v>
      </c>
      <c r="R149" s="5">
        <f>SUM(R150:R150)</f>
        <v>0</v>
      </c>
      <c r="S149" s="181"/>
      <c r="T149" s="396"/>
      <c r="U149" s="245"/>
      <c r="V149" s="497">
        <f>SUM(V150:V150)</f>
        <v>0</v>
      </c>
      <c r="W149" s="497">
        <f>SUM(W150:W150)</f>
        <v>2500000</v>
      </c>
      <c r="X149" s="498">
        <f>SUM(X150:X150)</f>
        <v>2500000</v>
      </c>
      <c r="Y149" s="498">
        <f>SUM(Y150:Y150)</f>
        <v>2500000</v>
      </c>
      <c r="Z149" s="498">
        <f>SUM(Z150:Z150)</f>
        <v>2500000</v>
      </c>
      <c r="AA149" s="498">
        <f t="shared" ref="AA149:AG149" si="100">SUM(AA150:AA150)</f>
        <v>2500000</v>
      </c>
      <c r="AB149" s="498">
        <f t="shared" si="100"/>
        <v>2500000</v>
      </c>
      <c r="AC149" s="498">
        <f t="shared" si="100"/>
        <v>2500000</v>
      </c>
      <c r="AD149" s="498">
        <f t="shared" si="100"/>
        <v>2500000</v>
      </c>
      <c r="AE149" s="498">
        <f t="shared" si="100"/>
        <v>2500000</v>
      </c>
      <c r="AF149" s="498">
        <f t="shared" si="100"/>
        <v>2500000</v>
      </c>
      <c r="AG149" s="498">
        <f t="shared" si="100"/>
        <v>2500000</v>
      </c>
      <c r="AH149" s="501">
        <f t="shared" si="88"/>
        <v>27500000</v>
      </c>
      <c r="AI149" s="535"/>
      <c r="AJ149" s="535"/>
      <c r="AK149" s="536"/>
      <c r="AL149" s="536"/>
      <c r="AM149" s="536"/>
      <c r="AQ149" s="440"/>
      <c r="AR149" s="285"/>
      <c r="AS149" s="285"/>
      <c r="AT149" s="285"/>
      <c r="AU149" s="285"/>
      <c r="AV149" s="285"/>
      <c r="AW149" s="285"/>
      <c r="AX149" s="285"/>
      <c r="AY149" s="285"/>
      <c r="AZ149" s="285"/>
      <c r="BA149" s="285"/>
      <c r="BB149" s="285"/>
      <c r="BC149" s="285"/>
      <c r="BD149" s="285"/>
      <c r="BE149" s="285"/>
      <c r="BF149" s="285"/>
      <c r="BG149" s="285"/>
      <c r="BH149" s="285"/>
      <c r="BI149" s="285"/>
      <c r="BJ149" s="285"/>
      <c r="BK149" s="285"/>
      <c r="BL149" s="285"/>
      <c r="BM149" s="285"/>
      <c r="BN149" s="285"/>
      <c r="BO149" s="285"/>
      <c r="BP149" s="285"/>
      <c r="BQ149" s="285"/>
      <c r="BR149" s="285"/>
      <c r="BS149" s="285"/>
      <c r="BT149" s="285"/>
      <c r="BU149" s="285"/>
      <c r="BV149" s="285"/>
    </row>
    <row r="150" spans="2:74" ht="30" customHeight="1" x14ac:dyDescent="0.2">
      <c r="B150" s="677"/>
      <c r="C150" s="678"/>
      <c r="D150" s="678"/>
      <c r="E150" s="678"/>
      <c r="F150" s="678"/>
      <c r="G150" s="678"/>
      <c r="H150" s="678"/>
      <c r="I150" s="678"/>
      <c r="J150" s="678"/>
      <c r="K150" s="398">
        <v>81111500</v>
      </c>
      <c r="L150" s="400" t="s">
        <v>553</v>
      </c>
      <c r="M150" s="134">
        <v>44206</v>
      </c>
      <c r="N150" s="134" t="s">
        <v>540</v>
      </c>
      <c r="O150" s="157" t="s">
        <v>324</v>
      </c>
      <c r="P150" s="157" t="s">
        <v>374</v>
      </c>
      <c r="Q150" s="434"/>
      <c r="R150" s="101">
        <f>27500000-27500000</f>
        <v>0</v>
      </c>
      <c r="S150" s="453" t="s">
        <v>386</v>
      </c>
      <c r="T150" s="399"/>
      <c r="U150" s="253" t="s">
        <v>181</v>
      </c>
      <c r="V150" s="497"/>
      <c r="W150" s="497">
        <v>2500000</v>
      </c>
      <c r="X150" s="498">
        <v>2500000</v>
      </c>
      <c r="Y150" s="498">
        <v>2500000</v>
      </c>
      <c r="Z150" s="498">
        <v>2500000</v>
      </c>
      <c r="AA150" s="498">
        <v>2500000</v>
      </c>
      <c r="AB150" s="498">
        <v>2500000</v>
      </c>
      <c r="AC150" s="498">
        <v>2500000</v>
      </c>
      <c r="AD150" s="498">
        <v>2500000</v>
      </c>
      <c r="AE150" s="498">
        <v>2500000</v>
      </c>
      <c r="AF150" s="498">
        <v>2500000</v>
      </c>
      <c r="AG150" s="498">
        <v>2500000</v>
      </c>
      <c r="AH150" s="501">
        <f t="shared" si="88"/>
        <v>27500000</v>
      </c>
      <c r="AI150" s="535"/>
      <c r="AJ150" s="535"/>
      <c r="AK150" s="536"/>
      <c r="AL150" s="536"/>
      <c r="AM150" s="536"/>
      <c r="AP150" s="533">
        <f>R150-AL150+AO150</f>
        <v>0</v>
      </c>
      <c r="AQ150" s="440"/>
      <c r="AR150" s="285"/>
      <c r="AS150" s="285"/>
      <c r="AT150" s="285"/>
      <c r="AU150" s="285"/>
      <c r="AV150" s="285"/>
      <c r="AW150" s="285"/>
      <c r="AX150" s="285"/>
      <c r="AY150" s="285"/>
      <c r="AZ150" s="285"/>
      <c r="BA150" s="285"/>
      <c r="BB150" s="285"/>
      <c r="BC150" s="285"/>
      <c r="BD150" s="285"/>
      <c r="BE150" s="285"/>
      <c r="BF150" s="285"/>
      <c r="BG150" s="285"/>
      <c r="BH150" s="285"/>
      <c r="BI150" s="285"/>
      <c r="BJ150" s="285"/>
      <c r="BK150" s="285"/>
      <c r="BL150" s="285"/>
      <c r="BM150" s="285"/>
      <c r="BN150" s="285"/>
      <c r="BO150" s="285"/>
      <c r="BP150" s="285"/>
      <c r="BQ150" s="285"/>
      <c r="BR150" s="285"/>
      <c r="BS150" s="285"/>
      <c r="BT150" s="285"/>
      <c r="BU150" s="285"/>
      <c r="BV150" s="285"/>
    </row>
    <row r="151" spans="2:74" ht="27" customHeight="1" x14ac:dyDescent="0.2">
      <c r="B151" s="91" t="s">
        <v>7</v>
      </c>
      <c r="C151" s="92" t="s">
        <v>20</v>
      </c>
      <c r="D151" s="92" t="s">
        <v>20</v>
      </c>
      <c r="E151" s="92" t="s">
        <v>20</v>
      </c>
      <c r="F151" s="92" t="s">
        <v>16</v>
      </c>
      <c r="G151" s="92" t="s">
        <v>12</v>
      </c>
      <c r="H151" s="92"/>
      <c r="I151" s="92"/>
      <c r="J151" s="196"/>
      <c r="K151" s="91"/>
      <c r="L151" s="412" t="s">
        <v>101</v>
      </c>
      <c r="M151" s="132"/>
      <c r="N151" s="132"/>
      <c r="O151" s="155"/>
      <c r="P151" s="155"/>
      <c r="Q151" s="434">
        <f>+Q152+Q156</f>
        <v>52000000</v>
      </c>
      <c r="R151" s="94">
        <f>+R152+R156</f>
        <v>51800000</v>
      </c>
      <c r="S151" s="92"/>
      <c r="T151" s="95"/>
      <c r="U151" s="244"/>
      <c r="V151" s="497">
        <f>+V152+V156</f>
        <v>4759000</v>
      </c>
      <c r="W151" s="497">
        <f>+W152+W156</f>
        <v>5199000</v>
      </c>
      <c r="X151" s="498">
        <f>+X152+X156</f>
        <v>5149000</v>
      </c>
      <c r="Y151" s="498">
        <f>+Y152+Y156</f>
        <v>5149000</v>
      </c>
      <c r="Z151" s="498">
        <f>+Z152+Z156</f>
        <v>5149000</v>
      </c>
      <c r="AA151" s="498">
        <f t="shared" ref="AA151:AF151" si="101">+AA152+AA156</f>
        <v>5149000</v>
      </c>
      <c r="AB151" s="498">
        <f t="shared" si="101"/>
        <v>5146000</v>
      </c>
      <c r="AC151" s="498">
        <f t="shared" si="101"/>
        <v>5220000</v>
      </c>
      <c r="AD151" s="498">
        <f t="shared" si="101"/>
        <v>5220000</v>
      </c>
      <c r="AE151" s="498">
        <f t="shared" si="101"/>
        <v>5220000</v>
      </c>
      <c r="AF151" s="498">
        <f t="shared" si="101"/>
        <v>5220000</v>
      </c>
      <c r="AG151" s="498">
        <f t="shared" ref="AG151" si="102">+AG152+AG156</f>
        <v>5220000</v>
      </c>
      <c r="AH151" s="501">
        <f t="shared" si="88"/>
        <v>61800000</v>
      </c>
      <c r="AI151" s="535"/>
      <c r="AJ151" s="535"/>
      <c r="AK151" s="536"/>
      <c r="AL151" s="536"/>
      <c r="AM151" s="536"/>
      <c r="AQ151" s="440"/>
      <c r="AR151" s="285"/>
      <c r="AS151" s="285"/>
      <c r="AT151" s="285"/>
      <c r="AU151" s="285"/>
      <c r="AV151" s="285"/>
      <c r="AW151" s="285"/>
      <c r="AX151" s="285"/>
      <c r="AY151" s="285"/>
      <c r="AZ151" s="285"/>
      <c r="BA151" s="285"/>
      <c r="BB151" s="285"/>
      <c r="BC151" s="285"/>
      <c r="BD151" s="285"/>
      <c r="BE151" s="285"/>
      <c r="BF151" s="285"/>
      <c r="BG151" s="285"/>
      <c r="BH151" s="285"/>
      <c r="BI151" s="285"/>
      <c r="BJ151" s="285"/>
      <c r="BK151" s="285"/>
      <c r="BL151" s="285"/>
      <c r="BM151" s="285"/>
      <c r="BN151" s="285"/>
      <c r="BO151" s="285"/>
      <c r="BP151" s="285"/>
      <c r="BQ151" s="285"/>
      <c r="BR151" s="285"/>
      <c r="BS151" s="285"/>
      <c r="BT151" s="285"/>
      <c r="BU151" s="285"/>
      <c r="BV151" s="285"/>
    </row>
    <row r="152" spans="2:74" ht="15" customHeight="1" x14ac:dyDescent="0.2">
      <c r="B152" s="397" t="s">
        <v>7</v>
      </c>
      <c r="C152" s="395" t="s">
        <v>20</v>
      </c>
      <c r="D152" s="395" t="s">
        <v>20</v>
      </c>
      <c r="E152" s="395" t="s">
        <v>20</v>
      </c>
      <c r="F152" s="395" t="s">
        <v>16</v>
      </c>
      <c r="G152" s="395" t="s">
        <v>12</v>
      </c>
      <c r="H152" s="395" t="s">
        <v>8</v>
      </c>
      <c r="I152" s="395"/>
      <c r="J152" s="405"/>
      <c r="K152" s="397"/>
      <c r="L152" s="404" t="s">
        <v>102</v>
      </c>
      <c r="M152" s="133"/>
      <c r="N152" s="133"/>
      <c r="O152" s="156"/>
      <c r="P152" s="156"/>
      <c r="Q152" s="434">
        <v>44000000</v>
      </c>
      <c r="R152" s="5">
        <f>SUM(R153:R155)</f>
        <v>37900000</v>
      </c>
      <c r="S152" s="181"/>
      <c r="T152" s="396"/>
      <c r="U152" s="245"/>
      <c r="V152" s="497">
        <f>SUM(V153:V155)</f>
        <v>3630000</v>
      </c>
      <c r="W152" s="497">
        <f>SUM(W153:W155)</f>
        <v>4070000</v>
      </c>
      <c r="X152" s="498">
        <f>SUM(X153:X155)</f>
        <v>4020000</v>
      </c>
      <c r="Y152" s="498">
        <f>SUM(Y153:Y155)</f>
        <v>4020000</v>
      </c>
      <c r="Z152" s="498">
        <f>SUM(Z153:Z155)</f>
        <v>4020000</v>
      </c>
      <c r="AA152" s="498">
        <f t="shared" ref="AA152:AF152" si="103">SUM(AA153:AA155)</f>
        <v>4020000</v>
      </c>
      <c r="AB152" s="498">
        <f t="shared" si="103"/>
        <v>4020000</v>
      </c>
      <c r="AC152" s="498">
        <f t="shared" si="103"/>
        <v>4020000</v>
      </c>
      <c r="AD152" s="498">
        <f t="shared" si="103"/>
        <v>4020000</v>
      </c>
      <c r="AE152" s="498">
        <f t="shared" si="103"/>
        <v>4020000</v>
      </c>
      <c r="AF152" s="498">
        <f t="shared" si="103"/>
        <v>4020000</v>
      </c>
      <c r="AG152" s="498">
        <f t="shared" ref="AG152" si="104">SUM(AG153:AG155)</f>
        <v>4020000</v>
      </c>
      <c r="AH152" s="501">
        <f t="shared" si="88"/>
        <v>47900000</v>
      </c>
      <c r="AI152" s="535"/>
      <c r="AJ152" s="535"/>
      <c r="AK152" s="536"/>
      <c r="AL152" s="536"/>
      <c r="AM152" s="536"/>
      <c r="AQ152" s="440"/>
      <c r="AR152" s="285"/>
      <c r="AS152" s="285"/>
      <c r="AT152" s="285"/>
      <c r="AU152" s="285"/>
      <c r="AV152" s="285"/>
      <c r="AW152" s="285"/>
      <c r="AX152" s="285"/>
      <c r="AY152" s="285"/>
      <c r="AZ152" s="285"/>
      <c r="BA152" s="285"/>
      <c r="BB152" s="285"/>
      <c r="BC152" s="285"/>
      <c r="BD152" s="285"/>
      <c r="BE152" s="285"/>
      <c r="BF152" s="285"/>
      <c r="BG152" s="285"/>
      <c r="BH152" s="285"/>
      <c r="BI152" s="285"/>
      <c r="BJ152" s="285"/>
      <c r="BK152" s="285"/>
      <c r="BL152" s="285"/>
      <c r="BM152" s="285"/>
      <c r="BN152" s="285"/>
      <c r="BO152" s="285"/>
      <c r="BP152" s="285"/>
      <c r="BQ152" s="285"/>
      <c r="BR152" s="285"/>
      <c r="BS152" s="285"/>
      <c r="BT152" s="285"/>
      <c r="BU152" s="285"/>
      <c r="BV152" s="285"/>
    </row>
    <row r="153" spans="2:74" ht="15" customHeight="1" x14ac:dyDescent="0.2">
      <c r="B153" s="677"/>
      <c r="C153" s="678"/>
      <c r="D153" s="678"/>
      <c r="E153" s="678"/>
      <c r="F153" s="678"/>
      <c r="G153" s="678"/>
      <c r="H153" s="678"/>
      <c r="I153" s="678"/>
      <c r="J153" s="678"/>
      <c r="K153" s="398"/>
      <c r="L153" s="400" t="s">
        <v>262</v>
      </c>
      <c r="M153" s="134">
        <v>44198</v>
      </c>
      <c r="N153" s="134" t="s">
        <v>540</v>
      </c>
      <c r="O153" s="157" t="s">
        <v>301</v>
      </c>
      <c r="P153" s="157" t="s">
        <v>375</v>
      </c>
      <c r="Q153" s="434"/>
      <c r="R153" s="101">
        <f>32000000-10000000</f>
        <v>22000000</v>
      </c>
      <c r="S153" s="453" t="s">
        <v>386</v>
      </c>
      <c r="T153" s="399"/>
      <c r="U153" s="253" t="s">
        <v>271</v>
      </c>
      <c r="V153" s="497">
        <v>2630000</v>
      </c>
      <c r="W153" s="497">
        <v>2670000</v>
      </c>
      <c r="X153" s="497">
        <v>2670000</v>
      </c>
      <c r="Y153" s="497">
        <v>2670000</v>
      </c>
      <c r="Z153" s="497">
        <v>2670000</v>
      </c>
      <c r="AA153" s="497">
        <v>2670000</v>
      </c>
      <c r="AB153" s="497">
        <v>2670000</v>
      </c>
      <c r="AC153" s="497">
        <v>2670000</v>
      </c>
      <c r="AD153" s="497">
        <v>2670000</v>
      </c>
      <c r="AE153" s="497">
        <v>2670000</v>
      </c>
      <c r="AF153" s="497">
        <v>2670000</v>
      </c>
      <c r="AG153" s="497">
        <v>2670000</v>
      </c>
      <c r="AH153" s="501">
        <f t="shared" si="88"/>
        <v>32000000</v>
      </c>
      <c r="AI153" s="535" t="s">
        <v>622</v>
      </c>
      <c r="AJ153" s="538">
        <v>44208</v>
      </c>
      <c r="AK153" s="536">
        <f>8684585.46+4871420</f>
        <v>13556005.460000001</v>
      </c>
      <c r="AL153" s="536">
        <f>8684585.46+4871420</f>
        <v>13556005.460000001</v>
      </c>
      <c r="AM153" s="536">
        <f>8684585.46+4871420</f>
        <v>13556005.460000001</v>
      </c>
      <c r="AN153" s="532">
        <f>+R153-AL153</f>
        <v>8443994.5399999991</v>
      </c>
      <c r="AO153" s="532">
        <f>+AL153-AM153</f>
        <v>0</v>
      </c>
      <c r="AP153" s="533">
        <f>R153-AL153+AO153</f>
        <v>8443994.5399999991</v>
      </c>
      <c r="AQ153" s="440"/>
      <c r="AR153" s="285"/>
      <c r="AS153" s="285"/>
      <c r="AT153" s="285"/>
      <c r="AU153" s="285"/>
      <c r="AV153" s="285"/>
      <c r="AW153" s="285"/>
      <c r="AX153" s="285"/>
      <c r="AY153" s="285"/>
      <c r="AZ153" s="285"/>
      <c r="BA153" s="285"/>
      <c r="BB153" s="285"/>
      <c r="BC153" s="285"/>
      <c r="BD153" s="285"/>
      <c r="BE153" s="285"/>
      <c r="BF153" s="285"/>
      <c r="BG153" s="285"/>
      <c r="BH153" s="285"/>
      <c r="BI153" s="285"/>
      <c r="BJ153" s="285"/>
      <c r="BK153" s="285"/>
      <c r="BL153" s="285"/>
      <c r="BM153" s="285"/>
      <c r="BN153" s="285"/>
      <c r="BO153" s="285"/>
      <c r="BP153" s="285"/>
      <c r="BQ153" s="285"/>
      <c r="BR153" s="285"/>
      <c r="BS153" s="285"/>
      <c r="BT153" s="285"/>
      <c r="BU153" s="285"/>
      <c r="BV153" s="285"/>
    </row>
    <row r="154" spans="2:74" ht="30" customHeight="1" x14ac:dyDescent="0.2">
      <c r="B154" s="682"/>
      <c r="C154" s="683"/>
      <c r="D154" s="683"/>
      <c r="E154" s="683"/>
      <c r="F154" s="683"/>
      <c r="G154" s="683"/>
      <c r="H154" s="683"/>
      <c r="I154" s="683"/>
      <c r="J154" s="683"/>
      <c r="K154" s="398"/>
      <c r="L154" s="400" t="s">
        <v>263</v>
      </c>
      <c r="M154" s="134">
        <v>44198</v>
      </c>
      <c r="N154" s="134" t="s">
        <v>540</v>
      </c>
      <c r="O154" s="157" t="s">
        <v>301</v>
      </c>
      <c r="P154" s="157" t="s">
        <v>375</v>
      </c>
      <c r="Q154" s="434"/>
      <c r="R154" s="101">
        <v>12000000</v>
      </c>
      <c r="S154" s="453" t="s">
        <v>386</v>
      </c>
      <c r="T154" s="399"/>
      <c r="U154" s="253" t="s">
        <v>271</v>
      </c>
      <c r="V154" s="497">
        <v>1000000</v>
      </c>
      <c r="W154" s="497">
        <v>1000000</v>
      </c>
      <c r="X154" s="498">
        <v>1000000</v>
      </c>
      <c r="Y154" s="498">
        <v>1000000</v>
      </c>
      <c r="Z154" s="498">
        <v>1000000</v>
      </c>
      <c r="AA154" s="498">
        <v>1000000</v>
      </c>
      <c r="AB154" s="498">
        <v>1000000</v>
      </c>
      <c r="AC154" s="498">
        <v>1000000</v>
      </c>
      <c r="AD154" s="498">
        <v>1000000</v>
      </c>
      <c r="AE154" s="498">
        <v>1000000</v>
      </c>
      <c r="AF154" s="498">
        <v>1000000</v>
      </c>
      <c r="AG154" s="498">
        <v>1000000</v>
      </c>
      <c r="AH154" s="501">
        <f t="shared" si="88"/>
        <v>12000000</v>
      </c>
      <c r="AI154" s="535" t="s">
        <v>623</v>
      </c>
      <c r="AJ154" s="538">
        <v>44302</v>
      </c>
      <c r="AK154" s="536">
        <f>2466510+2466510</f>
        <v>4933020</v>
      </c>
      <c r="AL154" s="536">
        <f>2466510+2466510</f>
        <v>4933020</v>
      </c>
      <c r="AM154" s="536">
        <f>2466510+2466510</f>
        <v>4933020</v>
      </c>
      <c r="AN154" s="532">
        <f>+R154-AL154</f>
        <v>7066980</v>
      </c>
      <c r="AO154" s="532">
        <f>+AL154-AM154</f>
        <v>0</v>
      </c>
      <c r="AP154" s="533">
        <f>R154-AL154+AO154</f>
        <v>7066980</v>
      </c>
      <c r="AQ154" s="440"/>
      <c r="AR154" s="285"/>
      <c r="AS154" s="285"/>
      <c r="AT154" s="285"/>
      <c r="AU154" s="285"/>
      <c r="AV154" s="285"/>
      <c r="AW154" s="285"/>
      <c r="AX154" s="285"/>
      <c r="AY154" s="285"/>
      <c r="AZ154" s="285"/>
      <c r="BA154" s="285"/>
      <c r="BB154" s="285"/>
      <c r="BC154" s="285"/>
      <c r="BD154" s="285"/>
      <c r="BE154" s="285"/>
      <c r="BF154" s="285"/>
      <c r="BG154" s="285"/>
      <c r="BH154" s="285"/>
      <c r="BI154" s="285"/>
      <c r="BJ154" s="285"/>
      <c r="BK154" s="285"/>
      <c r="BL154" s="285"/>
      <c r="BM154" s="285"/>
      <c r="BN154" s="285"/>
      <c r="BO154" s="285"/>
      <c r="BP154" s="285"/>
      <c r="BQ154" s="285"/>
      <c r="BR154" s="285"/>
      <c r="BS154" s="285"/>
      <c r="BT154" s="285"/>
      <c r="BU154" s="285"/>
      <c r="BV154" s="285"/>
    </row>
    <row r="155" spans="2:74" ht="15" customHeight="1" x14ac:dyDescent="0.2">
      <c r="B155" s="682"/>
      <c r="C155" s="683"/>
      <c r="D155" s="683"/>
      <c r="E155" s="683"/>
      <c r="F155" s="683"/>
      <c r="G155" s="683"/>
      <c r="H155" s="683"/>
      <c r="I155" s="683"/>
      <c r="J155" s="683"/>
      <c r="K155" s="113"/>
      <c r="L155" s="406" t="s">
        <v>264</v>
      </c>
      <c r="M155" s="137" t="s">
        <v>375</v>
      </c>
      <c r="N155" s="137" t="s">
        <v>375</v>
      </c>
      <c r="O155" s="160" t="s">
        <v>375</v>
      </c>
      <c r="P155" s="160" t="s">
        <v>375</v>
      </c>
      <c r="Q155" s="434"/>
      <c r="R155" s="115">
        <v>3900000</v>
      </c>
      <c r="S155" s="187"/>
      <c r="T155" s="116"/>
      <c r="U155" s="256" t="s">
        <v>355</v>
      </c>
      <c r="V155" s="497"/>
      <c r="W155" s="497">
        <v>400000</v>
      </c>
      <c r="X155" s="497">
        <v>350000</v>
      </c>
      <c r="Y155" s="497">
        <v>350000</v>
      </c>
      <c r="Z155" s="497">
        <v>350000</v>
      </c>
      <c r="AA155" s="497">
        <v>350000</v>
      </c>
      <c r="AB155" s="497">
        <v>350000</v>
      </c>
      <c r="AC155" s="497">
        <v>350000</v>
      </c>
      <c r="AD155" s="497">
        <v>350000</v>
      </c>
      <c r="AE155" s="497">
        <v>350000</v>
      </c>
      <c r="AF155" s="497">
        <v>350000</v>
      </c>
      <c r="AG155" s="497">
        <v>350000</v>
      </c>
      <c r="AH155" s="501">
        <f t="shared" si="88"/>
        <v>3900000</v>
      </c>
      <c r="AI155" s="535"/>
      <c r="AJ155" s="535"/>
      <c r="AK155" s="536"/>
      <c r="AL155" s="536"/>
      <c r="AM155" s="536"/>
      <c r="AQ155" s="440"/>
      <c r="AR155" s="285"/>
      <c r="AS155" s="285"/>
      <c r="AT155" s="285"/>
      <c r="AU155" s="285"/>
      <c r="AV155" s="285"/>
      <c r="AW155" s="285"/>
      <c r="AX155" s="285"/>
      <c r="AY155" s="285"/>
      <c r="AZ155" s="285"/>
      <c r="BA155" s="285"/>
      <c r="BB155" s="285"/>
      <c r="BC155" s="285"/>
      <c r="BD155" s="285"/>
      <c r="BE155" s="285"/>
      <c r="BF155" s="285"/>
      <c r="BG155" s="285"/>
      <c r="BH155" s="285"/>
      <c r="BI155" s="285"/>
      <c r="BJ155" s="285"/>
      <c r="BK155" s="285"/>
      <c r="BL155" s="285"/>
      <c r="BM155" s="285"/>
      <c r="BN155" s="285"/>
      <c r="BO155" s="285"/>
      <c r="BP155" s="285"/>
      <c r="BQ155" s="285"/>
      <c r="BR155" s="285"/>
      <c r="BS155" s="285"/>
      <c r="BT155" s="285"/>
      <c r="BU155" s="285"/>
      <c r="BV155" s="285"/>
    </row>
    <row r="156" spans="2:74" ht="46.5" customHeight="1" x14ac:dyDescent="0.2">
      <c r="B156" s="397" t="s">
        <v>7</v>
      </c>
      <c r="C156" s="395" t="s">
        <v>20</v>
      </c>
      <c r="D156" s="395" t="s">
        <v>20</v>
      </c>
      <c r="E156" s="395" t="s">
        <v>20</v>
      </c>
      <c r="F156" s="395" t="s">
        <v>16</v>
      </c>
      <c r="G156" s="395" t="s">
        <v>12</v>
      </c>
      <c r="H156" s="395" t="s">
        <v>20</v>
      </c>
      <c r="I156" s="395"/>
      <c r="J156" s="405"/>
      <c r="K156" s="397"/>
      <c r="L156" s="404" t="s">
        <v>103</v>
      </c>
      <c r="M156" s="133"/>
      <c r="N156" s="133"/>
      <c r="O156" s="156"/>
      <c r="P156" s="156"/>
      <c r="Q156" s="434">
        <v>8000000</v>
      </c>
      <c r="R156" s="5">
        <f>SUM(R157:R158)</f>
        <v>13900000</v>
      </c>
      <c r="S156" s="181"/>
      <c r="T156" s="396"/>
      <c r="U156" s="245"/>
      <c r="V156" s="497">
        <f>SUM(V157:V158)</f>
        <v>1129000</v>
      </c>
      <c r="W156" s="497">
        <f>SUM(W157:W158)</f>
        <v>1129000</v>
      </c>
      <c r="X156" s="498">
        <f>SUM(X157:X158)</f>
        <v>1129000</v>
      </c>
      <c r="Y156" s="498">
        <f>SUM(Y157:Y158)</f>
        <v>1129000</v>
      </c>
      <c r="Z156" s="498">
        <f>SUM(Z157:Z158)</f>
        <v>1129000</v>
      </c>
      <c r="AA156" s="498">
        <f t="shared" ref="AA156:AF156" si="105">SUM(AA157:AA158)</f>
        <v>1129000</v>
      </c>
      <c r="AB156" s="498">
        <f t="shared" si="105"/>
        <v>1126000</v>
      </c>
      <c r="AC156" s="498">
        <f t="shared" si="105"/>
        <v>1200000</v>
      </c>
      <c r="AD156" s="498">
        <f t="shared" si="105"/>
        <v>1200000</v>
      </c>
      <c r="AE156" s="498">
        <f t="shared" si="105"/>
        <v>1200000</v>
      </c>
      <c r="AF156" s="498">
        <f t="shared" si="105"/>
        <v>1200000</v>
      </c>
      <c r="AG156" s="498">
        <f t="shared" ref="AG156" si="106">SUM(AG157:AG158)</f>
        <v>1200000</v>
      </c>
      <c r="AH156" s="501">
        <f t="shared" si="88"/>
        <v>13900000</v>
      </c>
      <c r="AI156" s="535"/>
      <c r="AJ156" s="535"/>
      <c r="AK156" s="536"/>
      <c r="AL156" s="536"/>
      <c r="AM156" s="536"/>
      <c r="AQ156" s="440"/>
      <c r="AR156" s="285"/>
      <c r="AS156" s="285"/>
      <c r="AT156" s="285"/>
      <c r="AU156" s="285"/>
      <c r="AV156" s="285"/>
      <c r="AW156" s="285"/>
      <c r="AX156" s="285"/>
      <c r="AY156" s="285"/>
      <c r="AZ156" s="285"/>
      <c r="BA156" s="285"/>
      <c r="BB156" s="285"/>
      <c r="BC156" s="285"/>
      <c r="BD156" s="285"/>
      <c r="BE156" s="285"/>
      <c r="BF156" s="285"/>
      <c r="BG156" s="285"/>
      <c r="BH156" s="285"/>
      <c r="BI156" s="285"/>
      <c r="BJ156" s="285"/>
      <c r="BK156" s="285"/>
      <c r="BL156" s="285"/>
      <c r="BM156" s="285"/>
      <c r="BN156" s="285"/>
      <c r="BO156" s="285"/>
      <c r="BP156" s="285"/>
      <c r="BQ156" s="285"/>
      <c r="BR156" s="285"/>
      <c r="BS156" s="285"/>
      <c r="BT156" s="285"/>
      <c r="BU156" s="285"/>
      <c r="BV156" s="285"/>
    </row>
    <row r="157" spans="2:74" ht="72" customHeight="1" x14ac:dyDescent="0.2">
      <c r="B157" s="677"/>
      <c r="C157" s="678"/>
      <c r="D157" s="678"/>
      <c r="E157" s="678"/>
      <c r="F157" s="678"/>
      <c r="G157" s="678"/>
      <c r="H157" s="678"/>
      <c r="I157" s="678"/>
      <c r="J157" s="678"/>
      <c r="K157" s="109">
        <v>81112100</v>
      </c>
      <c r="L157" s="401" t="s">
        <v>469</v>
      </c>
      <c r="M157" s="135"/>
      <c r="N157" s="135"/>
      <c r="O157" s="158"/>
      <c r="P157" s="158"/>
      <c r="Q157" s="434"/>
      <c r="R157" s="111">
        <v>7900000</v>
      </c>
      <c r="S157" s="184"/>
      <c r="T157" s="112"/>
      <c r="U157" s="254" t="s">
        <v>181</v>
      </c>
      <c r="V157" s="497">
        <v>1129000</v>
      </c>
      <c r="W157" s="497">
        <v>1129000</v>
      </c>
      <c r="X157" s="498">
        <v>1129000</v>
      </c>
      <c r="Y157" s="498">
        <v>1129000</v>
      </c>
      <c r="Z157" s="498">
        <v>1129000</v>
      </c>
      <c r="AA157" s="498">
        <v>1129000</v>
      </c>
      <c r="AB157" s="498">
        <f>1129000-3000</f>
        <v>1126000</v>
      </c>
      <c r="AC157" s="498"/>
      <c r="AD157" s="498"/>
      <c r="AE157" s="498"/>
      <c r="AF157" s="498"/>
      <c r="AG157" s="498"/>
      <c r="AH157" s="501">
        <f t="shared" si="88"/>
        <v>7900000</v>
      </c>
      <c r="AI157" s="535">
        <v>1321</v>
      </c>
      <c r="AJ157" s="538">
        <v>44208</v>
      </c>
      <c r="AK157" s="536">
        <v>3090430</v>
      </c>
      <c r="AL157" s="536">
        <v>4709226.67</v>
      </c>
      <c r="AM157" s="536">
        <v>4414900</v>
      </c>
      <c r="AN157" s="532">
        <f>+R157-AL157</f>
        <v>3190773.33</v>
      </c>
      <c r="AO157" s="547">
        <f>+AL157-AM157</f>
        <v>294326.66999999993</v>
      </c>
      <c r="AP157" s="533">
        <f>R157-AL157+AO157</f>
        <v>3485100</v>
      </c>
      <c r="AQ157" s="440"/>
      <c r="AR157" s="285"/>
      <c r="AS157" s="285"/>
      <c r="AT157" s="285"/>
      <c r="AU157" s="285"/>
      <c r="AV157" s="285"/>
      <c r="AW157" s="285"/>
      <c r="AX157" s="285"/>
      <c r="AY157" s="285"/>
      <c r="AZ157" s="285"/>
      <c r="BA157" s="285"/>
      <c r="BB157" s="285"/>
      <c r="BC157" s="285"/>
      <c r="BD157" s="285"/>
      <c r="BE157" s="285"/>
      <c r="BF157" s="285"/>
      <c r="BG157" s="285"/>
      <c r="BH157" s="285"/>
      <c r="BI157" s="285"/>
      <c r="BJ157" s="285"/>
      <c r="BK157" s="285"/>
      <c r="BL157" s="285"/>
      <c r="BM157" s="285"/>
      <c r="BN157" s="285"/>
      <c r="BO157" s="285"/>
      <c r="BP157" s="285"/>
      <c r="BQ157" s="285"/>
      <c r="BR157" s="285"/>
      <c r="BS157" s="285"/>
      <c r="BT157" s="285"/>
      <c r="BU157" s="285"/>
      <c r="BV157" s="285"/>
    </row>
    <row r="158" spans="2:74" ht="45" customHeight="1" x14ac:dyDescent="0.2">
      <c r="B158" s="682"/>
      <c r="C158" s="683"/>
      <c r="D158" s="683"/>
      <c r="E158" s="683"/>
      <c r="F158" s="683"/>
      <c r="G158" s="683"/>
      <c r="H158" s="683"/>
      <c r="I158" s="683"/>
      <c r="J158" s="683"/>
      <c r="K158" s="398">
        <v>81112100</v>
      </c>
      <c r="L158" s="400" t="s">
        <v>470</v>
      </c>
      <c r="M158" s="134">
        <v>44348</v>
      </c>
      <c r="N158" s="134" t="s">
        <v>572</v>
      </c>
      <c r="O158" s="157" t="s">
        <v>311</v>
      </c>
      <c r="P158" s="157" t="s">
        <v>384</v>
      </c>
      <c r="Q158" s="434"/>
      <c r="R158" s="101">
        <v>6000000</v>
      </c>
      <c r="S158" s="402" t="s">
        <v>322</v>
      </c>
      <c r="T158" s="101">
        <f>8000000+R158</f>
        <v>14000000</v>
      </c>
      <c r="U158" s="253" t="s">
        <v>181</v>
      </c>
      <c r="V158" s="497"/>
      <c r="W158" s="497"/>
      <c r="X158" s="498"/>
      <c r="Y158" s="498"/>
      <c r="Z158" s="498"/>
      <c r="AA158" s="498"/>
      <c r="AB158" s="498"/>
      <c r="AC158" s="498">
        <v>1200000</v>
      </c>
      <c r="AD158" s="498">
        <v>1200000</v>
      </c>
      <c r="AE158" s="498">
        <v>1200000</v>
      </c>
      <c r="AF158" s="498">
        <v>1200000</v>
      </c>
      <c r="AG158" s="498">
        <v>1200000</v>
      </c>
      <c r="AH158" s="501">
        <f t="shared" si="88"/>
        <v>6000000</v>
      </c>
      <c r="AI158" s="661">
        <v>67321</v>
      </c>
      <c r="AJ158" s="538">
        <v>44435</v>
      </c>
      <c r="AK158" s="536">
        <v>6000000</v>
      </c>
      <c r="AL158" s="536">
        <v>6000000</v>
      </c>
      <c r="AM158" s="536"/>
      <c r="AN158" s="532">
        <f>+R158-AL158</f>
        <v>0</v>
      </c>
      <c r="AO158" s="532">
        <f>+AL158-AM158</f>
        <v>6000000</v>
      </c>
      <c r="AP158" s="533">
        <f>R158-AL158+AO158</f>
        <v>6000000</v>
      </c>
      <c r="AQ158" s="440"/>
      <c r="AR158" s="285"/>
      <c r="AS158" s="285"/>
      <c r="AT158" s="285"/>
      <c r="AU158" s="285"/>
      <c r="AV158" s="285"/>
      <c r="AW158" s="285"/>
      <c r="AX158" s="285"/>
      <c r="AY158" s="285"/>
      <c r="AZ158" s="285"/>
      <c r="BA158" s="285"/>
      <c r="BB158" s="285"/>
      <c r="BC158" s="285"/>
      <c r="BD158" s="285"/>
      <c r="BE158" s="285"/>
      <c r="BF158" s="285"/>
      <c r="BG158" s="285"/>
      <c r="BH158" s="285"/>
      <c r="BI158" s="285"/>
      <c r="BJ158" s="285"/>
      <c r="BK158" s="285"/>
      <c r="BL158" s="285"/>
      <c r="BM158" s="285"/>
      <c r="BN158" s="285"/>
      <c r="BO158" s="285"/>
      <c r="BP158" s="285"/>
      <c r="BQ158" s="285"/>
      <c r="BR158" s="285"/>
      <c r="BS158" s="285"/>
      <c r="BT158" s="285"/>
      <c r="BU158" s="285"/>
      <c r="BV158" s="285"/>
    </row>
    <row r="159" spans="2:74" ht="45" customHeight="1" x14ac:dyDescent="0.2">
      <c r="B159" s="91" t="s">
        <v>7</v>
      </c>
      <c r="C159" s="92" t="s">
        <v>20</v>
      </c>
      <c r="D159" s="92" t="s">
        <v>20</v>
      </c>
      <c r="E159" s="92" t="s">
        <v>20</v>
      </c>
      <c r="F159" s="92" t="s">
        <v>16</v>
      </c>
      <c r="G159" s="92" t="s">
        <v>15</v>
      </c>
      <c r="H159" s="92"/>
      <c r="I159" s="92"/>
      <c r="J159" s="196"/>
      <c r="K159" s="91"/>
      <c r="L159" s="412" t="s">
        <v>106</v>
      </c>
      <c r="M159" s="132"/>
      <c r="N159" s="132"/>
      <c r="O159" s="155"/>
      <c r="P159" s="155"/>
      <c r="Q159" s="434">
        <f>+Q160</f>
        <v>333700000</v>
      </c>
      <c r="R159" s="94">
        <f>+R160</f>
        <v>210500000</v>
      </c>
      <c r="S159" s="92"/>
      <c r="T159" s="95">
        <v>216000000</v>
      </c>
      <c r="U159" s="244"/>
      <c r="V159" s="497">
        <f>+V160</f>
        <v>1857142.857142857</v>
      </c>
      <c r="W159" s="497">
        <f>+W160</f>
        <v>2157142.8571428573</v>
      </c>
      <c r="X159" s="498">
        <f>+X160</f>
        <v>2157142.8571428573</v>
      </c>
      <c r="Y159" s="498">
        <f>+Y160</f>
        <v>8717142.8571428563</v>
      </c>
      <c r="Z159" s="498">
        <f>+Z160</f>
        <v>8717142.8571428563</v>
      </c>
      <c r="AA159" s="498">
        <f t="shared" ref="AA159:AG159" si="107">+AA160</f>
        <v>28717142.857142858</v>
      </c>
      <c r="AB159" s="498">
        <f t="shared" si="107"/>
        <v>32217142.857142858</v>
      </c>
      <c r="AC159" s="498">
        <f t="shared" si="107"/>
        <v>13630000</v>
      </c>
      <c r="AD159" s="498">
        <f t="shared" si="107"/>
        <v>13630000</v>
      </c>
      <c r="AE159" s="498">
        <f t="shared" si="107"/>
        <v>13630000</v>
      </c>
      <c r="AF159" s="498">
        <f t="shared" si="107"/>
        <v>46630000</v>
      </c>
      <c r="AG159" s="498">
        <f t="shared" si="107"/>
        <v>10840000</v>
      </c>
      <c r="AH159" s="501">
        <f t="shared" si="88"/>
        <v>182900000</v>
      </c>
      <c r="AI159" s="535"/>
      <c r="AJ159" s="535"/>
      <c r="AK159" s="536"/>
      <c r="AL159" s="536"/>
      <c r="AM159" s="536"/>
      <c r="AQ159" s="440"/>
      <c r="AR159" s="285"/>
      <c r="AS159" s="285"/>
      <c r="AT159" s="285"/>
      <c r="AU159" s="285"/>
      <c r="AV159" s="285"/>
      <c r="AW159" s="285"/>
      <c r="AX159" s="285"/>
      <c r="AY159" s="285"/>
      <c r="AZ159" s="285"/>
      <c r="BA159" s="285"/>
      <c r="BB159" s="285"/>
      <c r="BC159" s="285"/>
      <c r="BD159" s="285"/>
      <c r="BE159" s="285"/>
      <c r="BF159" s="285"/>
      <c r="BG159" s="285"/>
      <c r="BH159" s="285"/>
      <c r="BI159" s="285"/>
      <c r="BJ159" s="285"/>
      <c r="BK159" s="285"/>
      <c r="BL159" s="285"/>
      <c r="BM159" s="285"/>
      <c r="BN159" s="285"/>
      <c r="BO159" s="285"/>
      <c r="BP159" s="285"/>
      <c r="BQ159" s="285"/>
      <c r="BR159" s="285"/>
      <c r="BS159" s="285"/>
      <c r="BT159" s="285"/>
      <c r="BU159" s="285"/>
      <c r="BV159" s="285"/>
    </row>
    <row r="160" spans="2:74" ht="45" customHeight="1" x14ac:dyDescent="0.2">
      <c r="B160" s="397" t="s">
        <v>7</v>
      </c>
      <c r="C160" s="395" t="s">
        <v>20</v>
      </c>
      <c r="D160" s="395" t="s">
        <v>20</v>
      </c>
      <c r="E160" s="395" t="s">
        <v>20</v>
      </c>
      <c r="F160" s="395" t="s">
        <v>16</v>
      </c>
      <c r="G160" s="395" t="s">
        <v>15</v>
      </c>
      <c r="H160" s="395" t="s">
        <v>8</v>
      </c>
      <c r="I160" s="395"/>
      <c r="J160" s="405"/>
      <c r="K160" s="397"/>
      <c r="L160" s="404" t="s">
        <v>107</v>
      </c>
      <c r="M160" s="133"/>
      <c r="N160" s="133"/>
      <c r="O160" s="156"/>
      <c r="P160" s="156"/>
      <c r="Q160" s="434">
        <f>+Q161+Q163+Q167</f>
        <v>333700000</v>
      </c>
      <c r="R160" s="5">
        <f>+R161+R163+R167</f>
        <v>210500000</v>
      </c>
      <c r="S160" s="181"/>
      <c r="T160" s="396"/>
      <c r="U160" s="245"/>
      <c r="V160" s="497">
        <f t="shared" ref="V160:AG160" si="108">+V161+V163+V167</f>
        <v>1857142.857142857</v>
      </c>
      <c r="W160" s="497">
        <f t="shared" si="108"/>
        <v>2157142.8571428573</v>
      </c>
      <c r="X160" s="498">
        <f t="shared" si="108"/>
        <v>2157142.8571428573</v>
      </c>
      <c r="Y160" s="498">
        <f t="shared" si="108"/>
        <v>8717142.8571428563</v>
      </c>
      <c r="Z160" s="498">
        <f t="shared" si="108"/>
        <v>8717142.8571428563</v>
      </c>
      <c r="AA160" s="498">
        <f t="shared" si="108"/>
        <v>28717142.857142858</v>
      </c>
      <c r="AB160" s="498">
        <f t="shared" si="108"/>
        <v>32217142.857142858</v>
      </c>
      <c r="AC160" s="498">
        <f t="shared" si="108"/>
        <v>13630000</v>
      </c>
      <c r="AD160" s="498">
        <f t="shared" si="108"/>
        <v>13630000</v>
      </c>
      <c r="AE160" s="498">
        <f t="shared" si="108"/>
        <v>13630000</v>
      </c>
      <c r="AF160" s="498">
        <f t="shared" si="108"/>
        <v>46630000</v>
      </c>
      <c r="AG160" s="498">
        <f t="shared" si="108"/>
        <v>10840000</v>
      </c>
      <c r="AH160" s="501">
        <f t="shared" si="88"/>
        <v>182900000</v>
      </c>
      <c r="AI160" s="535"/>
      <c r="AJ160" s="535"/>
      <c r="AK160" s="536"/>
      <c r="AL160" s="536"/>
      <c r="AM160" s="536"/>
      <c r="AQ160" s="440"/>
      <c r="AR160" s="285"/>
      <c r="AS160" s="285"/>
      <c r="AT160" s="285"/>
      <c r="AU160" s="285"/>
      <c r="AV160" s="285"/>
      <c r="AW160" s="285"/>
      <c r="AX160" s="285"/>
      <c r="AY160" s="285"/>
      <c r="AZ160" s="285"/>
      <c r="BA160" s="285"/>
      <c r="BB160" s="285"/>
      <c r="BC160" s="285"/>
      <c r="BD160" s="285"/>
      <c r="BE160" s="285"/>
      <c r="BF160" s="285"/>
      <c r="BG160" s="285"/>
      <c r="BH160" s="285"/>
      <c r="BI160" s="285"/>
      <c r="BJ160" s="285"/>
      <c r="BK160" s="285"/>
      <c r="BL160" s="285"/>
      <c r="BM160" s="285"/>
      <c r="BN160" s="285"/>
      <c r="BO160" s="285"/>
      <c r="BP160" s="285"/>
      <c r="BQ160" s="285"/>
      <c r="BR160" s="285"/>
      <c r="BS160" s="285"/>
      <c r="BT160" s="285"/>
      <c r="BU160" s="285"/>
      <c r="BV160" s="285"/>
    </row>
    <row r="161" spans="2:74" ht="30" customHeight="1" x14ac:dyDescent="0.2">
      <c r="B161" s="397" t="s">
        <v>7</v>
      </c>
      <c r="C161" s="395" t="s">
        <v>20</v>
      </c>
      <c r="D161" s="395" t="s">
        <v>20</v>
      </c>
      <c r="E161" s="395" t="s">
        <v>20</v>
      </c>
      <c r="F161" s="395" t="s">
        <v>16</v>
      </c>
      <c r="G161" s="395" t="s">
        <v>15</v>
      </c>
      <c r="H161" s="395" t="s">
        <v>8</v>
      </c>
      <c r="I161" s="395" t="s">
        <v>32</v>
      </c>
      <c r="J161" s="405"/>
      <c r="K161" s="397"/>
      <c r="L161" s="404" t="s">
        <v>136</v>
      </c>
      <c r="M161" s="133"/>
      <c r="N161" s="133"/>
      <c r="O161" s="156"/>
      <c r="P161" s="156"/>
      <c r="Q161" s="434">
        <v>80000000</v>
      </c>
      <c r="R161" s="5">
        <f>SUM(R162:R162)</f>
        <v>20000000</v>
      </c>
      <c r="S161" s="181"/>
      <c r="T161" s="396"/>
      <c r="U161" s="245"/>
      <c r="V161" s="497">
        <f>SUM(V162:V162)</f>
        <v>0</v>
      </c>
      <c r="W161" s="497">
        <f>SUM(W162:W162)</f>
        <v>0</v>
      </c>
      <c r="X161" s="498">
        <f>SUM(X162:X162)</f>
        <v>0</v>
      </c>
      <c r="Y161" s="498">
        <f>SUM(Y162:Y162)</f>
        <v>0</v>
      </c>
      <c r="Z161" s="498">
        <f>SUM(Z162:Z162)</f>
        <v>0</v>
      </c>
      <c r="AA161" s="498">
        <f t="shared" ref="AA161:AG161" si="109">SUM(AA162:AA162)</f>
        <v>20000000</v>
      </c>
      <c r="AB161" s="498">
        <f t="shared" si="109"/>
        <v>0</v>
      </c>
      <c r="AC161" s="498">
        <f t="shared" si="109"/>
        <v>0</v>
      </c>
      <c r="AD161" s="498">
        <f t="shared" si="109"/>
        <v>0</v>
      </c>
      <c r="AE161" s="498">
        <f t="shared" si="109"/>
        <v>0</v>
      </c>
      <c r="AF161" s="498">
        <f t="shared" si="109"/>
        <v>20000000</v>
      </c>
      <c r="AG161" s="498">
        <f t="shared" si="109"/>
        <v>0</v>
      </c>
      <c r="AH161" s="501">
        <f t="shared" si="88"/>
        <v>40000000</v>
      </c>
      <c r="AI161" s="535"/>
      <c r="AJ161" s="535"/>
      <c r="AK161" s="536"/>
      <c r="AL161" s="536"/>
      <c r="AM161" s="536"/>
      <c r="AQ161" s="440"/>
      <c r="AR161" s="285"/>
      <c r="AS161" s="285"/>
      <c r="AT161" s="285"/>
      <c r="AU161" s="285"/>
      <c r="AV161" s="285"/>
      <c r="AW161" s="285"/>
      <c r="AX161" s="285"/>
      <c r="AY161" s="285"/>
      <c r="AZ161" s="285"/>
      <c r="BA161" s="285"/>
      <c r="BB161" s="285"/>
      <c r="BC161" s="285"/>
      <c r="BD161" s="285"/>
      <c r="BE161" s="285"/>
      <c r="BF161" s="285"/>
      <c r="BG161" s="285"/>
      <c r="BH161" s="285"/>
      <c r="BI161" s="285"/>
      <c r="BJ161" s="285"/>
      <c r="BK161" s="285"/>
      <c r="BL161" s="285"/>
      <c r="BM161" s="285"/>
      <c r="BN161" s="285"/>
      <c r="BO161" s="285"/>
      <c r="BP161" s="285"/>
      <c r="BQ161" s="285"/>
      <c r="BR161" s="285"/>
      <c r="BS161" s="285"/>
      <c r="BT161" s="285"/>
      <c r="BU161" s="285"/>
      <c r="BV161" s="285"/>
    </row>
    <row r="162" spans="2:74" ht="90" customHeight="1" x14ac:dyDescent="0.2">
      <c r="B162" s="677"/>
      <c r="C162" s="678"/>
      <c r="D162" s="678"/>
      <c r="E162" s="678"/>
      <c r="F162" s="678"/>
      <c r="G162" s="678"/>
      <c r="H162" s="678"/>
      <c r="I162" s="678"/>
      <c r="J162" s="678"/>
      <c r="K162" s="177"/>
      <c r="L162" s="400" t="s">
        <v>597</v>
      </c>
      <c r="M162" s="134">
        <v>44270</v>
      </c>
      <c r="N162" s="134" t="s">
        <v>574</v>
      </c>
      <c r="O162" s="157" t="s">
        <v>326</v>
      </c>
      <c r="P162" s="157" t="s">
        <v>318</v>
      </c>
      <c r="Q162" s="434"/>
      <c r="R162" s="101">
        <f>40000000-20000000</f>
        <v>20000000</v>
      </c>
      <c r="S162" s="453" t="s">
        <v>386</v>
      </c>
      <c r="T162" s="399"/>
      <c r="U162" s="253" t="s">
        <v>181</v>
      </c>
      <c r="V162" s="497"/>
      <c r="W162" s="497"/>
      <c r="X162" s="498"/>
      <c r="Y162" s="498"/>
      <c r="Z162" s="498"/>
      <c r="AA162" s="498">
        <v>20000000</v>
      </c>
      <c r="AB162" s="498"/>
      <c r="AC162" s="498"/>
      <c r="AD162" s="498"/>
      <c r="AE162" s="498"/>
      <c r="AF162" s="498">
        <v>20000000</v>
      </c>
      <c r="AG162" s="498"/>
      <c r="AH162" s="501">
        <f t="shared" si="88"/>
        <v>40000000</v>
      </c>
      <c r="AI162" s="535">
        <v>26021</v>
      </c>
      <c r="AJ162" s="538">
        <v>44267</v>
      </c>
      <c r="AK162" s="536">
        <v>20000000</v>
      </c>
      <c r="AL162" s="536">
        <v>20000000</v>
      </c>
      <c r="AM162" s="536">
        <v>20000000</v>
      </c>
      <c r="AN162" s="532">
        <f>+R162-AL162</f>
        <v>0</v>
      </c>
      <c r="AO162" s="532">
        <f>+AL162-AM162</f>
        <v>0</v>
      </c>
      <c r="AP162" s="532">
        <f>R162-AL162+AO162</f>
        <v>0</v>
      </c>
      <c r="AQ162" s="440"/>
      <c r="AR162" s="285"/>
      <c r="AS162" s="285"/>
      <c r="AT162" s="285"/>
      <c r="AU162" s="285"/>
      <c r="AV162" s="285"/>
      <c r="AW162" s="285"/>
      <c r="AX162" s="285"/>
      <c r="AY162" s="285"/>
      <c r="AZ162" s="285"/>
      <c r="BA162" s="285"/>
      <c r="BB162" s="285"/>
      <c r="BC162" s="285"/>
      <c r="BD162" s="285"/>
      <c r="BE162" s="285"/>
      <c r="BF162" s="285"/>
      <c r="BG162" s="285"/>
      <c r="BH162" s="285"/>
      <c r="BI162" s="285"/>
      <c r="BJ162" s="285"/>
      <c r="BK162" s="285"/>
      <c r="BL162" s="285"/>
      <c r="BM162" s="285"/>
      <c r="BN162" s="285"/>
      <c r="BO162" s="285"/>
      <c r="BP162" s="285"/>
      <c r="BQ162" s="285"/>
      <c r="BR162" s="285"/>
      <c r="BS162" s="285"/>
      <c r="BT162" s="285"/>
      <c r="BU162" s="285"/>
      <c r="BV162" s="285"/>
    </row>
    <row r="163" spans="2:74" ht="30" customHeight="1" x14ac:dyDescent="0.2">
      <c r="B163" s="397" t="s">
        <v>7</v>
      </c>
      <c r="C163" s="395" t="s">
        <v>20</v>
      </c>
      <c r="D163" s="395" t="s">
        <v>20</v>
      </c>
      <c r="E163" s="395" t="s">
        <v>20</v>
      </c>
      <c r="F163" s="395" t="s">
        <v>16</v>
      </c>
      <c r="G163" s="395" t="s">
        <v>15</v>
      </c>
      <c r="H163" s="395" t="s">
        <v>8</v>
      </c>
      <c r="I163" s="395" t="s">
        <v>33</v>
      </c>
      <c r="J163" s="405"/>
      <c r="K163" s="397"/>
      <c r="L163" s="404" t="s">
        <v>137</v>
      </c>
      <c r="M163" s="133"/>
      <c r="N163" s="133"/>
      <c r="O163" s="156"/>
      <c r="P163" s="156"/>
      <c r="Q163" s="434">
        <v>79000000</v>
      </c>
      <c r="R163" s="544">
        <f>SUM(R164:R166)</f>
        <v>81900000</v>
      </c>
      <c r="S163" s="181"/>
      <c r="T163" s="396"/>
      <c r="U163" s="245"/>
      <c r="V163" s="497">
        <f t="shared" ref="V163:AG163" si="110">SUM(V164:V166)</f>
        <v>1857142.857142857</v>
      </c>
      <c r="W163" s="497">
        <f t="shared" si="110"/>
        <v>1857142.857142857</v>
      </c>
      <c r="X163" s="498">
        <f t="shared" si="110"/>
        <v>1857142.857142857</v>
      </c>
      <c r="Y163" s="498">
        <f t="shared" si="110"/>
        <v>8417142.8571428563</v>
      </c>
      <c r="Z163" s="498">
        <f t="shared" si="110"/>
        <v>8417142.8571428563</v>
      </c>
      <c r="AA163" s="498">
        <f t="shared" si="110"/>
        <v>8417142.8571428563</v>
      </c>
      <c r="AB163" s="498">
        <f t="shared" si="110"/>
        <v>8417142.8571428563</v>
      </c>
      <c r="AC163" s="498">
        <f t="shared" si="110"/>
        <v>8420000</v>
      </c>
      <c r="AD163" s="498">
        <f t="shared" si="110"/>
        <v>8420000</v>
      </c>
      <c r="AE163" s="498">
        <f t="shared" si="110"/>
        <v>8420000</v>
      </c>
      <c r="AF163" s="498">
        <f t="shared" si="110"/>
        <v>8420000</v>
      </c>
      <c r="AG163" s="498">
        <f t="shared" si="110"/>
        <v>8380000</v>
      </c>
      <c r="AH163" s="501">
        <f t="shared" si="88"/>
        <v>81300000</v>
      </c>
      <c r="AI163" s="535"/>
      <c r="AJ163" s="535"/>
      <c r="AK163" s="536"/>
      <c r="AL163" s="536"/>
      <c r="AM163" s="536"/>
      <c r="AQ163" s="440"/>
      <c r="AR163" s="285"/>
      <c r="AS163" s="285"/>
      <c r="AT163" s="285"/>
      <c r="AU163" s="285"/>
      <c r="AV163" s="285"/>
      <c r="AW163" s="285"/>
      <c r="AX163" s="285"/>
      <c r="AY163" s="285"/>
      <c r="AZ163" s="285"/>
      <c r="BA163" s="285"/>
      <c r="BB163" s="285"/>
      <c r="BC163" s="285"/>
      <c r="BD163" s="285"/>
      <c r="BE163" s="285"/>
      <c r="BF163" s="285"/>
      <c r="BG163" s="285"/>
      <c r="BH163" s="285"/>
      <c r="BI163" s="285"/>
      <c r="BJ163" s="285"/>
      <c r="BK163" s="285"/>
      <c r="BL163" s="285"/>
      <c r="BM163" s="285"/>
      <c r="BN163" s="285"/>
      <c r="BO163" s="285"/>
      <c r="BP163" s="285"/>
      <c r="BQ163" s="285"/>
      <c r="BR163" s="285"/>
      <c r="BS163" s="285"/>
      <c r="BT163" s="285"/>
      <c r="BU163" s="285"/>
      <c r="BV163" s="285"/>
    </row>
    <row r="164" spans="2:74" ht="82.5" customHeight="1" x14ac:dyDescent="0.2">
      <c r="B164" s="677"/>
      <c r="C164" s="678"/>
      <c r="D164" s="678"/>
      <c r="E164" s="678"/>
      <c r="F164" s="678"/>
      <c r="G164" s="678"/>
      <c r="H164" s="678"/>
      <c r="I164" s="678"/>
      <c r="J164" s="678"/>
      <c r="K164" s="176" t="s">
        <v>315</v>
      </c>
      <c r="L164" s="539" t="s">
        <v>591</v>
      </c>
      <c r="M164" s="135"/>
      <c r="N164" s="135"/>
      <c r="O164" s="158"/>
      <c r="P164" s="158"/>
      <c r="Q164" s="434"/>
      <c r="R164" s="111">
        <f>13000000+600000</f>
        <v>13600000</v>
      </c>
      <c r="S164" s="184"/>
      <c r="T164" s="112"/>
      <c r="U164" s="254" t="s">
        <v>221</v>
      </c>
      <c r="V164" s="497">
        <v>1857142.857142857</v>
      </c>
      <c r="W164" s="497">
        <v>1857142.857142857</v>
      </c>
      <c r="X164" s="498">
        <v>1857142.857142857</v>
      </c>
      <c r="Y164" s="498">
        <v>1857142.857142857</v>
      </c>
      <c r="Z164" s="498">
        <v>1857142.857142857</v>
      </c>
      <c r="AA164" s="498">
        <v>1857142.857142857</v>
      </c>
      <c r="AB164" s="498">
        <v>1857142.857142857</v>
      </c>
      <c r="AC164" s="498"/>
      <c r="AD164" s="498"/>
      <c r="AE164" s="498"/>
      <c r="AF164" s="498"/>
      <c r="AG164" s="498"/>
      <c r="AH164" s="501">
        <f t="shared" si="88"/>
        <v>12999999.999999998</v>
      </c>
      <c r="AI164" s="662">
        <v>15121</v>
      </c>
      <c r="AJ164" s="538">
        <v>44238</v>
      </c>
      <c r="AK164" s="536">
        <v>13600000</v>
      </c>
      <c r="AL164" s="536">
        <v>13600000</v>
      </c>
      <c r="AM164" s="536">
        <v>9267840.5399999991</v>
      </c>
      <c r="AN164" s="532">
        <f>+R164-AL164</f>
        <v>0</v>
      </c>
      <c r="AO164" s="532">
        <f>+AL164-AM164</f>
        <v>4332159.4600000009</v>
      </c>
      <c r="AP164" s="533">
        <f>R164-AL164+AO164</f>
        <v>4332159.4600000009</v>
      </c>
      <c r="AQ164" s="440"/>
      <c r="AR164" s="285"/>
      <c r="AS164" s="285"/>
      <c r="AT164" s="285"/>
      <c r="AU164" s="285"/>
      <c r="AV164" s="285"/>
      <c r="AW164" s="285"/>
      <c r="AX164" s="285"/>
      <c r="AY164" s="285"/>
      <c r="AZ164" s="285"/>
      <c r="BA164" s="285"/>
      <c r="BB164" s="285"/>
      <c r="BC164" s="285"/>
      <c r="BD164" s="285"/>
      <c r="BE164" s="285"/>
      <c r="BF164" s="285"/>
      <c r="BG164" s="285"/>
      <c r="BH164" s="285"/>
      <c r="BI164" s="285"/>
      <c r="BJ164" s="285"/>
      <c r="BK164" s="285"/>
      <c r="BL164" s="285"/>
      <c r="BM164" s="285"/>
      <c r="BN164" s="285"/>
      <c r="BO164" s="285"/>
      <c r="BP164" s="285"/>
      <c r="BQ164" s="285"/>
      <c r="BR164" s="285"/>
      <c r="BS164" s="285"/>
      <c r="BT164" s="285"/>
      <c r="BU164" s="285"/>
      <c r="BV164" s="285"/>
    </row>
    <row r="165" spans="2:74" ht="94.5" customHeight="1" x14ac:dyDescent="0.2">
      <c r="B165" s="682"/>
      <c r="C165" s="683"/>
      <c r="D165" s="683"/>
      <c r="E165" s="683"/>
      <c r="F165" s="683"/>
      <c r="G165" s="683"/>
      <c r="H165" s="683"/>
      <c r="I165" s="683"/>
      <c r="J165" s="683"/>
      <c r="K165" s="177" t="s">
        <v>315</v>
      </c>
      <c r="L165" s="400" t="s">
        <v>471</v>
      </c>
      <c r="M165" s="134">
        <v>44489</v>
      </c>
      <c r="N165" s="134" t="s">
        <v>578</v>
      </c>
      <c r="O165" s="157" t="s">
        <v>326</v>
      </c>
      <c r="P165" s="157" t="s">
        <v>483</v>
      </c>
      <c r="Q165" s="434"/>
      <c r="R165" s="101">
        <v>9300000</v>
      </c>
      <c r="S165" s="402" t="s">
        <v>322</v>
      </c>
      <c r="T165" s="101">
        <v>22710600</v>
      </c>
      <c r="U165" s="253" t="s">
        <v>221</v>
      </c>
      <c r="V165" s="497"/>
      <c r="W165" s="497"/>
      <c r="X165" s="498"/>
      <c r="Y165" s="498"/>
      <c r="Z165" s="498"/>
      <c r="AA165" s="498"/>
      <c r="AB165" s="498"/>
      <c r="AC165" s="498">
        <v>1860000</v>
      </c>
      <c r="AD165" s="498">
        <v>1860000</v>
      </c>
      <c r="AE165" s="498">
        <v>1860000</v>
      </c>
      <c r="AF165" s="498">
        <v>1860000</v>
      </c>
      <c r="AG165" s="498">
        <v>1860000</v>
      </c>
      <c r="AH165" s="501">
        <f t="shared" si="88"/>
        <v>9300000</v>
      </c>
      <c r="AI165" s="660">
        <v>67321</v>
      </c>
      <c r="AJ165" s="534">
        <v>44435</v>
      </c>
      <c r="AK165" s="536">
        <v>1892550</v>
      </c>
      <c r="AL165" s="536">
        <v>1892550</v>
      </c>
      <c r="AM165" s="536"/>
      <c r="AN165" s="532">
        <f>+R165-AL165</f>
        <v>7407450</v>
      </c>
      <c r="AO165" s="532">
        <f>+AL165-AM165</f>
        <v>1892550</v>
      </c>
      <c r="AP165" s="533">
        <f>R165-AL165+AO165</f>
        <v>9300000</v>
      </c>
      <c r="AR165" s="285"/>
      <c r="AS165" s="285"/>
      <c r="AT165" s="285"/>
      <c r="AU165" s="285"/>
      <c r="AV165" s="285"/>
      <c r="AW165" s="285"/>
      <c r="AX165" s="285"/>
      <c r="AY165" s="285"/>
      <c r="AZ165" s="285"/>
      <c r="BA165" s="285"/>
      <c r="BB165" s="285"/>
      <c r="BC165" s="285"/>
      <c r="BD165" s="285"/>
      <c r="BE165" s="285"/>
      <c r="BF165" s="285"/>
      <c r="BG165" s="285"/>
      <c r="BH165" s="285"/>
      <c r="BI165" s="285"/>
      <c r="BJ165" s="285"/>
      <c r="BK165" s="285"/>
      <c r="BL165" s="285"/>
      <c r="BM165" s="285"/>
      <c r="BN165" s="285"/>
      <c r="BO165" s="285"/>
      <c r="BP165" s="285"/>
      <c r="BQ165" s="285"/>
      <c r="BR165" s="285"/>
      <c r="BS165" s="285"/>
      <c r="BT165" s="285"/>
      <c r="BU165" s="285"/>
      <c r="BV165" s="285"/>
    </row>
    <row r="166" spans="2:74" s="440" customFormat="1" ht="72" customHeight="1" x14ac:dyDescent="0.2">
      <c r="B166" s="682"/>
      <c r="C166" s="683"/>
      <c r="D166" s="683"/>
      <c r="E166" s="683"/>
      <c r="F166" s="683"/>
      <c r="G166" s="683"/>
      <c r="H166" s="683"/>
      <c r="I166" s="683"/>
      <c r="J166" s="683"/>
      <c r="K166" s="450" t="s">
        <v>556</v>
      </c>
      <c r="L166" s="451" t="s">
        <v>265</v>
      </c>
      <c r="M166" s="134">
        <v>44216</v>
      </c>
      <c r="N166" s="134" t="s">
        <v>539</v>
      </c>
      <c r="O166" s="157" t="s">
        <v>301</v>
      </c>
      <c r="P166" s="157" t="s">
        <v>319</v>
      </c>
      <c r="Q166" s="434"/>
      <c r="R166" s="101">
        <v>59000000</v>
      </c>
      <c r="S166" s="453" t="s">
        <v>386</v>
      </c>
      <c r="T166" s="449"/>
      <c r="U166" s="461" t="s">
        <v>467</v>
      </c>
      <c r="V166" s="497"/>
      <c r="W166" s="497"/>
      <c r="X166" s="498"/>
      <c r="Y166" s="498">
        <v>6560000</v>
      </c>
      <c r="Z166" s="498">
        <v>6560000</v>
      </c>
      <c r="AA166" s="498">
        <v>6560000</v>
      </c>
      <c r="AB166" s="498">
        <v>6560000</v>
      </c>
      <c r="AC166" s="498">
        <v>6560000</v>
      </c>
      <c r="AD166" s="498">
        <v>6560000</v>
      </c>
      <c r="AE166" s="498">
        <v>6560000</v>
      </c>
      <c r="AF166" s="498">
        <v>6560000</v>
      </c>
      <c r="AG166" s="498">
        <v>6520000</v>
      </c>
      <c r="AH166" s="501">
        <f t="shared" ref="AH166" si="111">SUM(V166:AG166)</f>
        <v>59000000</v>
      </c>
      <c r="AI166" s="535">
        <v>11421</v>
      </c>
      <c r="AJ166" s="538">
        <v>44230</v>
      </c>
      <c r="AK166" s="536">
        <v>59000000</v>
      </c>
      <c r="AL166" s="536">
        <v>59000000</v>
      </c>
      <c r="AM166" s="536">
        <v>59000000</v>
      </c>
      <c r="AN166" s="532">
        <f>+R166-AL166</f>
        <v>0</v>
      </c>
      <c r="AO166" s="532">
        <f>+AL166-AM166</f>
        <v>0</v>
      </c>
      <c r="AP166" s="533">
        <f>R166-AL166+AO166</f>
        <v>0</v>
      </c>
      <c r="AR166" s="285"/>
      <c r="AS166" s="285"/>
      <c r="AT166" s="285"/>
      <c r="AU166" s="285"/>
      <c r="AV166" s="285"/>
      <c r="AW166" s="285"/>
      <c r="AX166" s="285"/>
      <c r="AY166" s="285"/>
      <c r="AZ166" s="285"/>
      <c r="BA166" s="285"/>
      <c r="BB166" s="285"/>
      <c r="BC166" s="285"/>
      <c r="BD166" s="285"/>
      <c r="BE166" s="285"/>
      <c r="BF166" s="285"/>
      <c r="BG166" s="285"/>
      <c r="BH166" s="285"/>
      <c r="BI166" s="285"/>
      <c r="BJ166" s="285"/>
      <c r="BK166" s="285"/>
      <c r="BL166" s="285"/>
      <c r="BM166" s="285"/>
      <c r="BN166" s="285"/>
      <c r="BO166" s="285"/>
      <c r="BP166" s="285"/>
      <c r="BQ166" s="285"/>
      <c r="BR166" s="285"/>
      <c r="BS166" s="285"/>
      <c r="BT166" s="285"/>
      <c r="BU166" s="285"/>
      <c r="BV166" s="285"/>
    </row>
    <row r="167" spans="2:74" ht="30" customHeight="1" x14ac:dyDescent="0.2">
      <c r="B167" s="397" t="s">
        <v>7</v>
      </c>
      <c r="C167" s="395" t="s">
        <v>20</v>
      </c>
      <c r="D167" s="395" t="s">
        <v>20</v>
      </c>
      <c r="E167" s="395" t="s">
        <v>20</v>
      </c>
      <c r="F167" s="395" t="s">
        <v>16</v>
      </c>
      <c r="G167" s="395" t="s">
        <v>15</v>
      </c>
      <c r="H167" s="395" t="s">
        <v>8</v>
      </c>
      <c r="I167" s="395" t="s">
        <v>34</v>
      </c>
      <c r="J167" s="405"/>
      <c r="K167" s="397"/>
      <c r="L167" s="404" t="s">
        <v>108</v>
      </c>
      <c r="M167" s="133"/>
      <c r="N167" s="133"/>
      <c r="O167" s="156"/>
      <c r="P167" s="156"/>
      <c r="Q167" s="434">
        <v>174700000</v>
      </c>
      <c r="R167" s="544">
        <f>SUM(R168:R173)</f>
        <v>108600000</v>
      </c>
      <c r="S167" s="181"/>
      <c r="T167" s="396"/>
      <c r="U167" s="245"/>
      <c r="V167" s="497">
        <f t="shared" ref="V167:AG167" si="112">SUM(V168:V173)</f>
        <v>0</v>
      </c>
      <c r="W167" s="497">
        <f t="shared" si="112"/>
        <v>300000</v>
      </c>
      <c r="X167" s="498">
        <f t="shared" si="112"/>
        <v>300000</v>
      </c>
      <c r="Y167" s="498">
        <f t="shared" si="112"/>
        <v>300000</v>
      </c>
      <c r="Z167" s="498">
        <f t="shared" si="112"/>
        <v>300000</v>
      </c>
      <c r="AA167" s="498">
        <f t="shared" si="112"/>
        <v>300000</v>
      </c>
      <c r="AB167" s="498">
        <f t="shared" si="112"/>
        <v>23800000</v>
      </c>
      <c r="AC167" s="498">
        <f t="shared" si="112"/>
        <v>5210000</v>
      </c>
      <c r="AD167" s="498">
        <f t="shared" si="112"/>
        <v>5210000</v>
      </c>
      <c r="AE167" s="498">
        <f t="shared" si="112"/>
        <v>5210000</v>
      </c>
      <c r="AF167" s="498">
        <f t="shared" si="112"/>
        <v>18210000</v>
      </c>
      <c r="AG167" s="498">
        <f t="shared" si="112"/>
        <v>2460000</v>
      </c>
      <c r="AH167" s="501">
        <f t="shared" si="88"/>
        <v>61600000</v>
      </c>
      <c r="AI167" s="535"/>
      <c r="AJ167" s="535"/>
      <c r="AK167" s="536"/>
      <c r="AL167" s="536"/>
      <c r="AM167" s="536"/>
      <c r="AR167" s="285"/>
      <c r="AS167" s="285"/>
      <c r="AT167" s="285"/>
      <c r="AU167" s="285"/>
      <c r="AV167" s="285"/>
      <c r="AW167" s="285"/>
      <c r="AX167" s="285"/>
      <c r="AY167" s="285"/>
      <c r="AZ167" s="285"/>
      <c r="BA167" s="285"/>
      <c r="BB167" s="285"/>
      <c r="BC167" s="285"/>
      <c r="BD167" s="285"/>
      <c r="BE167" s="285"/>
      <c r="BF167" s="285"/>
      <c r="BG167" s="285"/>
      <c r="BH167" s="285"/>
      <c r="BI167" s="285"/>
      <c r="BJ167" s="285"/>
      <c r="BK167" s="285"/>
      <c r="BL167" s="285"/>
      <c r="BM167" s="285"/>
      <c r="BN167" s="285"/>
      <c r="BO167" s="285"/>
      <c r="BP167" s="285"/>
      <c r="BQ167" s="285"/>
      <c r="BR167" s="285"/>
      <c r="BS167" s="285"/>
      <c r="BT167" s="285"/>
      <c r="BU167" s="285"/>
      <c r="BV167" s="285"/>
    </row>
    <row r="168" spans="2:74" s="394" customFormat="1" ht="45" customHeight="1" x14ac:dyDescent="0.2">
      <c r="B168" s="677"/>
      <c r="C168" s="678"/>
      <c r="D168" s="678"/>
      <c r="E168" s="678"/>
      <c r="F168" s="678"/>
      <c r="G168" s="678"/>
      <c r="H168" s="678"/>
      <c r="I168" s="678"/>
      <c r="J168" s="678"/>
      <c r="K168" s="177" t="s">
        <v>628</v>
      </c>
      <c r="L168" s="400" t="s">
        <v>497</v>
      </c>
      <c r="M168" s="134">
        <v>44410</v>
      </c>
      <c r="N168" s="134" t="s">
        <v>576</v>
      </c>
      <c r="O168" s="157" t="s">
        <v>487</v>
      </c>
      <c r="P168" s="157"/>
      <c r="Q168" s="434"/>
      <c r="R168" s="101">
        <v>13000000</v>
      </c>
      <c r="S168" s="402"/>
      <c r="T168" s="399"/>
      <c r="U168" s="253" t="s">
        <v>466</v>
      </c>
      <c r="V168" s="497"/>
      <c r="W168" s="497"/>
      <c r="X168" s="498"/>
      <c r="Y168" s="498"/>
      <c r="Z168" s="498"/>
      <c r="AA168" s="498"/>
      <c r="AB168" s="498"/>
      <c r="AC168" s="498"/>
      <c r="AD168" s="498"/>
      <c r="AE168" s="498"/>
      <c r="AF168" s="498">
        <v>13000000</v>
      </c>
      <c r="AG168" s="498"/>
      <c r="AH168" s="501">
        <f t="shared" si="88"/>
        <v>13000000</v>
      </c>
      <c r="AI168" s="535">
        <v>62421</v>
      </c>
      <c r="AJ168" s="538">
        <v>44420</v>
      </c>
      <c r="AK168" s="536">
        <v>13000000</v>
      </c>
      <c r="AL168" s="536">
        <v>4693717</v>
      </c>
      <c r="AM168" s="536">
        <v>4693717</v>
      </c>
      <c r="AN168" s="532">
        <f t="shared" ref="AN168:AN173" si="113">+R168-AL168</f>
        <v>8306283</v>
      </c>
      <c r="AO168" s="532">
        <f t="shared" ref="AO168:AO173" si="114">+AL168-AM168</f>
        <v>0</v>
      </c>
      <c r="AP168" s="533">
        <f t="shared" ref="AP168:AP173" si="115">R168-AL168+AO168</f>
        <v>8306283</v>
      </c>
      <c r="AR168" s="285"/>
      <c r="AS168" s="285"/>
      <c r="AT168" s="285"/>
      <c r="AU168" s="285"/>
      <c r="AV168" s="285"/>
      <c r="AW168" s="285"/>
      <c r="AX168" s="285"/>
      <c r="AY168" s="285"/>
      <c r="AZ168" s="285"/>
      <c r="BA168" s="285"/>
      <c r="BB168" s="285"/>
      <c r="BC168" s="285"/>
      <c r="BD168" s="285"/>
      <c r="BE168" s="285"/>
      <c r="BF168" s="285"/>
      <c r="BG168" s="285"/>
      <c r="BH168" s="285"/>
      <c r="BI168" s="285"/>
      <c r="BJ168" s="285"/>
      <c r="BK168" s="285"/>
      <c r="BL168" s="285"/>
      <c r="BM168" s="285"/>
      <c r="BN168" s="285"/>
      <c r="BO168" s="285"/>
      <c r="BP168" s="285"/>
      <c r="BQ168" s="285"/>
      <c r="BR168" s="285"/>
      <c r="BS168" s="285"/>
      <c r="BT168" s="285"/>
      <c r="BU168" s="285"/>
      <c r="BV168" s="285"/>
    </row>
    <row r="169" spans="2:74" s="440" customFormat="1" ht="60" customHeight="1" x14ac:dyDescent="0.2">
      <c r="B169" s="456"/>
      <c r="C169" s="457"/>
      <c r="D169" s="457"/>
      <c r="E169" s="457"/>
      <c r="F169" s="457"/>
      <c r="G169" s="457"/>
      <c r="H169" s="457"/>
      <c r="I169" s="457"/>
      <c r="J169" s="457"/>
      <c r="K169" s="450" t="s">
        <v>316</v>
      </c>
      <c r="L169" s="451" t="s">
        <v>512</v>
      </c>
      <c r="M169" s="134">
        <v>44348</v>
      </c>
      <c r="N169" s="134" t="s">
        <v>572</v>
      </c>
      <c r="O169" s="157" t="s">
        <v>337</v>
      </c>
      <c r="P169" s="157" t="s">
        <v>319</v>
      </c>
      <c r="Q169" s="434"/>
      <c r="R169" s="101">
        <v>10600000</v>
      </c>
      <c r="S169" s="453" t="s">
        <v>350</v>
      </c>
      <c r="T169" s="449"/>
      <c r="U169" s="461" t="s">
        <v>221</v>
      </c>
      <c r="V169" s="497"/>
      <c r="W169" s="497"/>
      <c r="X169" s="498"/>
      <c r="Y169" s="498"/>
      <c r="Z169" s="498"/>
      <c r="AA169" s="498"/>
      <c r="AB169" s="498"/>
      <c r="AC169" s="498">
        <v>2650000</v>
      </c>
      <c r="AD169" s="498">
        <v>2650000</v>
      </c>
      <c r="AE169" s="498">
        <v>2650000</v>
      </c>
      <c r="AF169" s="498">
        <v>2650000</v>
      </c>
      <c r="AG169" s="498"/>
      <c r="AH169" s="501">
        <f t="shared" si="88"/>
        <v>10600000</v>
      </c>
      <c r="AI169" s="535">
        <v>35321</v>
      </c>
      <c r="AJ169" s="538">
        <v>44300</v>
      </c>
      <c r="AK169" s="536">
        <v>10600000</v>
      </c>
      <c r="AL169" s="536">
        <v>10600000</v>
      </c>
      <c r="AM169" s="536">
        <v>10600000</v>
      </c>
      <c r="AN169" s="532">
        <f t="shared" si="113"/>
        <v>0</v>
      </c>
      <c r="AO169" s="532">
        <f t="shared" si="114"/>
        <v>0</v>
      </c>
      <c r="AP169" s="533">
        <f t="shared" si="115"/>
        <v>0</v>
      </c>
      <c r="AR169" s="285"/>
      <c r="AS169" s="285"/>
      <c r="AT169" s="285"/>
      <c r="AU169" s="285"/>
      <c r="AV169" s="285"/>
      <c r="AW169" s="285"/>
      <c r="AX169" s="285"/>
      <c r="AY169" s="285"/>
      <c r="AZ169" s="285"/>
      <c r="BA169" s="285"/>
      <c r="BB169" s="285"/>
      <c r="BC169" s="285"/>
      <c r="BD169" s="285"/>
      <c r="BE169" s="285"/>
      <c r="BF169" s="285"/>
      <c r="BG169" s="285"/>
      <c r="BH169" s="285"/>
      <c r="BI169" s="285"/>
      <c r="BJ169" s="285"/>
      <c r="BK169" s="285"/>
      <c r="BL169" s="285"/>
      <c r="BM169" s="285"/>
      <c r="BN169" s="285"/>
      <c r="BO169" s="285"/>
      <c r="BP169" s="285"/>
      <c r="BQ169" s="285"/>
      <c r="BR169" s="285"/>
      <c r="BS169" s="285"/>
      <c r="BT169" s="285"/>
      <c r="BU169" s="285"/>
      <c r="BV169" s="285"/>
    </row>
    <row r="170" spans="2:74" s="440" customFormat="1" ht="90" customHeight="1" x14ac:dyDescent="0.2">
      <c r="B170" s="541"/>
      <c r="C170" s="542"/>
      <c r="D170" s="542"/>
      <c r="E170" s="542"/>
      <c r="F170" s="542"/>
      <c r="G170" s="542"/>
      <c r="H170" s="542"/>
      <c r="I170" s="542"/>
      <c r="J170" s="542"/>
      <c r="K170" s="450">
        <v>72154100</v>
      </c>
      <c r="L170" s="451" t="s">
        <v>612</v>
      </c>
      <c r="M170" s="134"/>
      <c r="N170" s="134" t="s">
        <v>579</v>
      </c>
      <c r="O170" s="157" t="s">
        <v>337</v>
      </c>
      <c r="P170" s="157" t="s">
        <v>611</v>
      </c>
      <c r="Q170" s="434"/>
      <c r="R170" s="101">
        <v>45500000</v>
      </c>
      <c r="S170" s="453" t="s">
        <v>632</v>
      </c>
      <c r="T170" s="101">
        <v>4483885</v>
      </c>
      <c r="U170" s="461" t="s">
        <v>221</v>
      </c>
      <c r="V170" s="497"/>
      <c r="W170" s="497"/>
      <c r="X170" s="498"/>
      <c r="Y170" s="498"/>
      <c r="Z170" s="498"/>
      <c r="AA170" s="498"/>
      <c r="AB170" s="498"/>
      <c r="AC170" s="498"/>
      <c r="AD170" s="498"/>
      <c r="AE170" s="498"/>
      <c r="AF170" s="498"/>
      <c r="AG170" s="498"/>
      <c r="AH170" s="501"/>
      <c r="AI170" s="660">
        <v>67321</v>
      </c>
      <c r="AJ170" s="534">
        <v>44435</v>
      </c>
      <c r="AK170" s="536">
        <v>1765000</v>
      </c>
      <c r="AL170" s="536">
        <v>1765000</v>
      </c>
      <c r="AM170" s="536"/>
      <c r="AN170" s="532">
        <f t="shared" si="113"/>
        <v>43735000</v>
      </c>
      <c r="AO170" s="532">
        <f t="shared" si="114"/>
        <v>1765000</v>
      </c>
      <c r="AP170" s="533">
        <f t="shared" si="115"/>
        <v>45500000</v>
      </c>
      <c r="AR170" s="285"/>
      <c r="AS170" s="285"/>
      <c r="AT170" s="285"/>
      <c r="AU170" s="285"/>
      <c r="AV170" s="285"/>
      <c r="AW170" s="285"/>
      <c r="AX170" s="285"/>
      <c r="AY170" s="285"/>
      <c r="AZ170" s="285"/>
      <c r="BA170" s="285"/>
      <c r="BB170" s="285"/>
      <c r="BC170" s="285"/>
      <c r="BD170" s="285"/>
      <c r="BE170" s="285"/>
      <c r="BF170" s="285"/>
      <c r="BG170" s="285"/>
      <c r="BH170" s="285"/>
      <c r="BI170" s="285"/>
      <c r="BJ170" s="285"/>
      <c r="BK170" s="285"/>
      <c r="BL170" s="285"/>
      <c r="BM170" s="285"/>
      <c r="BN170" s="285"/>
      <c r="BO170" s="285"/>
      <c r="BP170" s="285"/>
      <c r="BQ170" s="285"/>
      <c r="BR170" s="285"/>
      <c r="BS170" s="285"/>
      <c r="BT170" s="285"/>
      <c r="BU170" s="285"/>
      <c r="BV170" s="285"/>
    </row>
    <row r="171" spans="2:74" s="440" customFormat="1" ht="125.25" customHeight="1" x14ac:dyDescent="0.2">
      <c r="B171" s="456"/>
      <c r="C171" s="457"/>
      <c r="D171" s="457"/>
      <c r="E171" s="457"/>
      <c r="F171" s="457"/>
      <c r="G171" s="457"/>
      <c r="H171" s="457"/>
      <c r="I171" s="457"/>
      <c r="J171" s="457"/>
      <c r="K171" s="450">
        <v>72154100</v>
      </c>
      <c r="L171" s="451" t="s">
        <v>513</v>
      </c>
      <c r="M171" s="134">
        <v>44317</v>
      </c>
      <c r="N171" s="134" t="s">
        <v>575</v>
      </c>
      <c r="O171" s="157" t="s">
        <v>311</v>
      </c>
      <c r="P171" s="157" t="s">
        <v>317</v>
      </c>
      <c r="Q171" s="434"/>
      <c r="R171" s="101">
        <v>11300000</v>
      </c>
      <c r="S171" s="453" t="s">
        <v>350</v>
      </c>
      <c r="T171" s="449"/>
      <c r="U171" s="461" t="s">
        <v>221</v>
      </c>
      <c r="V171" s="497"/>
      <c r="W171" s="497"/>
      <c r="X171" s="498"/>
      <c r="Y171" s="498"/>
      <c r="Z171" s="498"/>
      <c r="AA171" s="498"/>
      <c r="AB171" s="498"/>
      <c r="AC171" s="498">
        <v>2260000</v>
      </c>
      <c r="AD171" s="498">
        <v>2260000</v>
      </c>
      <c r="AE171" s="498">
        <v>2260000</v>
      </c>
      <c r="AF171" s="498">
        <v>2260000</v>
      </c>
      <c r="AG171" s="498">
        <v>2260000</v>
      </c>
      <c r="AH171" s="501">
        <f t="shared" si="88"/>
        <v>11300000</v>
      </c>
      <c r="AI171" s="535">
        <v>13321</v>
      </c>
      <c r="AJ171" s="538">
        <v>44232</v>
      </c>
      <c r="AK171" s="536">
        <v>11300000</v>
      </c>
      <c r="AL171" s="536">
        <v>11300000</v>
      </c>
      <c r="AM171" s="536">
        <v>11300000</v>
      </c>
      <c r="AN171" s="532">
        <f t="shared" si="113"/>
        <v>0</v>
      </c>
      <c r="AO171" s="532">
        <f t="shared" si="114"/>
        <v>0</v>
      </c>
      <c r="AP171" s="533">
        <f t="shared" si="115"/>
        <v>0</v>
      </c>
      <c r="AR171" s="285"/>
      <c r="AS171" s="285"/>
      <c r="AT171" s="285"/>
      <c r="AU171" s="285"/>
      <c r="AV171" s="285"/>
      <c r="AW171" s="285"/>
      <c r="AX171" s="285"/>
      <c r="AY171" s="285"/>
      <c r="AZ171" s="285"/>
      <c r="BA171" s="285"/>
      <c r="BB171" s="285"/>
      <c r="BC171" s="285"/>
      <c r="BD171" s="285"/>
      <c r="BE171" s="285"/>
      <c r="BF171" s="285"/>
      <c r="BG171" s="285"/>
      <c r="BH171" s="285"/>
      <c r="BI171" s="285"/>
      <c r="BJ171" s="285"/>
      <c r="BK171" s="285"/>
      <c r="BL171" s="285"/>
      <c r="BM171" s="285"/>
      <c r="BN171" s="285"/>
      <c r="BO171" s="285"/>
      <c r="BP171" s="285"/>
      <c r="BQ171" s="285"/>
      <c r="BR171" s="285"/>
      <c r="BS171" s="285"/>
      <c r="BT171" s="285"/>
      <c r="BU171" s="285"/>
      <c r="BV171" s="285"/>
    </row>
    <row r="172" spans="2:74" s="440" customFormat="1" ht="75" customHeight="1" x14ac:dyDescent="0.2">
      <c r="B172" s="456"/>
      <c r="C172" s="457"/>
      <c r="D172" s="457"/>
      <c r="E172" s="457"/>
      <c r="F172" s="457"/>
      <c r="G172" s="457"/>
      <c r="H172" s="457"/>
      <c r="I172" s="457"/>
      <c r="J172" s="457"/>
      <c r="K172" s="450">
        <v>72154100</v>
      </c>
      <c r="L172" s="451" t="s">
        <v>601</v>
      </c>
      <c r="M172" s="134">
        <v>44287</v>
      </c>
      <c r="N172" s="134" t="s">
        <v>573</v>
      </c>
      <c r="O172" s="157" t="s">
        <v>331</v>
      </c>
      <c r="P172" s="157" t="s">
        <v>318</v>
      </c>
      <c r="Q172" s="434"/>
      <c r="R172" s="101">
        <v>25000000</v>
      </c>
      <c r="S172" s="453" t="s">
        <v>350</v>
      </c>
      <c r="T172" s="449"/>
      <c r="U172" s="461" t="s">
        <v>221</v>
      </c>
      <c r="V172" s="497"/>
      <c r="W172" s="497"/>
      <c r="X172" s="498"/>
      <c r="Y172" s="498"/>
      <c r="Z172" s="498"/>
      <c r="AA172" s="498"/>
      <c r="AB172" s="498">
        <v>23500000</v>
      </c>
      <c r="AC172" s="498"/>
      <c r="AD172" s="498"/>
      <c r="AE172" s="498"/>
      <c r="AF172" s="498"/>
      <c r="AG172" s="498"/>
      <c r="AH172" s="501">
        <f t="shared" si="88"/>
        <v>23500000</v>
      </c>
      <c r="AI172" s="535">
        <v>45321</v>
      </c>
      <c r="AJ172" s="538">
        <v>44344</v>
      </c>
      <c r="AK172" s="536">
        <v>23500000</v>
      </c>
      <c r="AL172" s="536">
        <v>25000000</v>
      </c>
      <c r="AM172" s="536">
        <v>25000000</v>
      </c>
      <c r="AN172" s="532">
        <f t="shared" si="113"/>
        <v>0</v>
      </c>
      <c r="AO172" s="532">
        <f t="shared" si="114"/>
        <v>0</v>
      </c>
      <c r="AP172" s="533">
        <f t="shared" si="115"/>
        <v>0</v>
      </c>
      <c r="AR172" s="285"/>
      <c r="AS172" s="285"/>
      <c r="AT172" s="285"/>
      <c r="AU172" s="285"/>
      <c r="AV172" s="285"/>
      <c r="AW172" s="285"/>
      <c r="AX172" s="285"/>
      <c r="AY172" s="285"/>
      <c r="AZ172" s="285"/>
      <c r="BA172" s="285"/>
      <c r="BB172" s="285"/>
      <c r="BC172" s="285"/>
      <c r="BD172" s="285"/>
      <c r="BE172" s="285"/>
      <c r="BF172" s="285"/>
      <c r="BG172" s="285"/>
      <c r="BH172" s="285"/>
      <c r="BI172" s="285"/>
      <c r="BJ172" s="285"/>
      <c r="BK172" s="285"/>
      <c r="BL172" s="285"/>
      <c r="BM172" s="285"/>
      <c r="BN172" s="285"/>
      <c r="BO172" s="285"/>
      <c r="BP172" s="285"/>
      <c r="BQ172" s="285"/>
      <c r="BR172" s="285"/>
      <c r="BS172" s="285"/>
      <c r="BT172" s="285"/>
      <c r="BU172" s="285"/>
      <c r="BV172" s="285"/>
    </row>
    <row r="173" spans="2:74" ht="30" customHeight="1" x14ac:dyDescent="0.2">
      <c r="B173" s="682"/>
      <c r="C173" s="683"/>
      <c r="D173" s="683"/>
      <c r="E173" s="683"/>
      <c r="F173" s="683"/>
      <c r="G173" s="683"/>
      <c r="H173" s="683"/>
      <c r="I173" s="683"/>
      <c r="J173" s="683"/>
      <c r="K173" s="113"/>
      <c r="L173" s="406" t="s">
        <v>266</v>
      </c>
      <c r="M173" s="137"/>
      <c r="N173" s="137"/>
      <c r="O173" s="160"/>
      <c r="P173" s="160"/>
      <c r="Q173" s="434"/>
      <c r="R173" s="115">
        <v>3200000</v>
      </c>
      <c r="S173" s="187"/>
      <c r="T173" s="116"/>
      <c r="U173" s="256" t="s">
        <v>355</v>
      </c>
      <c r="V173" s="497"/>
      <c r="W173" s="497">
        <v>300000</v>
      </c>
      <c r="X173" s="498">
        <v>300000</v>
      </c>
      <c r="Y173" s="498">
        <v>300000</v>
      </c>
      <c r="Z173" s="498">
        <v>300000</v>
      </c>
      <c r="AA173" s="498">
        <v>300000</v>
      </c>
      <c r="AB173" s="498">
        <v>300000</v>
      </c>
      <c r="AC173" s="498">
        <v>300000</v>
      </c>
      <c r="AD173" s="498">
        <v>300000</v>
      </c>
      <c r="AE173" s="498">
        <v>300000</v>
      </c>
      <c r="AF173" s="498">
        <v>300000</v>
      </c>
      <c r="AG173" s="498">
        <v>200000</v>
      </c>
      <c r="AH173" s="501">
        <f t="shared" si="88"/>
        <v>3200000</v>
      </c>
      <c r="AI173" s="535">
        <v>11321</v>
      </c>
      <c r="AJ173" s="538">
        <v>44230</v>
      </c>
      <c r="AK173" s="536">
        <v>4989018</v>
      </c>
      <c r="AL173" s="536">
        <v>4989018</v>
      </c>
      <c r="AM173" s="536">
        <v>4989018</v>
      </c>
      <c r="AN173" s="532">
        <f t="shared" si="113"/>
        <v>-1789018</v>
      </c>
      <c r="AO173" s="532">
        <f t="shared" si="114"/>
        <v>0</v>
      </c>
      <c r="AP173" s="533">
        <f t="shared" si="115"/>
        <v>-1789018</v>
      </c>
      <c r="AQ173" s="440"/>
      <c r="AR173" s="285"/>
      <c r="AS173" s="285"/>
      <c r="AT173" s="285"/>
      <c r="AU173" s="285"/>
      <c r="AV173" s="285"/>
      <c r="AW173" s="285"/>
      <c r="AX173" s="285"/>
      <c r="AY173" s="285"/>
      <c r="AZ173" s="285"/>
      <c r="BA173" s="285"/>
      <c r="BB173" s="285"/>
      <c r="BC173" s="285"/>
      <c r="BD173" s="285"/>
      <c r="BE173" s="285"/>
      <c r="BF173" s="285"/>
      <c r="BG173" s="285"/>
      <c r="BH173" s="285"/>
      <c r="BI173" s="285"/>
      <c r="BJ173" s="285"/>
      <c r="BK173" s="285"/>
      <c r="BL173" s="285"/>
      <c r="BM173" s="285"/>
      <c r="BN173" s="285"/>
      <c r="BO173" s="285"/>
      <c r="BP173" s="285"/>
      <c r="BQ173" s="285"/>
      <c r="BR173" s="285"/>
      <c r="BS173" s="285"/>
      <c r="BT173" s="285"/>
      <c r="BU173" s="285"/>
      <c r="BV173" s="285"/>
    </row>
    <row r="174" spans="2:74" ht="15" customHeight="1" x14ac:dyDescent="0.2">
      <c r="B174" s="13" t="s">
        <v>7</v>
      </c>
      <c r="C174" s="14" t="s">
        <v>20</v>
      </c>
      <c r="D174" s="14" t="s">
        <v>20</v>
      </c>
      <c r="E174" s="14" t="s">
        <v>20</v>
      </c>
      <c r="F174" s="14" t="s">
        <v>17</v>
      </c>
      <c r="G174" s="14"/>
      <c r="H174" s="14"/>
      <c r="I174" s="14"/>
      <c r="J174" s="195"/>
      <c r="K174" s="13"/>
      <c r="L174" s="411" t="s">
        <v>111</v>
      </c>
      <c r="M174" s="131"/>
      <c r="N174" s="131"/>
      <c r="O174" s="154"/>
      <c r="P174" s="154"/>
      <c r="Q174" s="434">
        <f>+Q175+Q186+Q179+Q183</f>
        <v>517000000</v>
      </c>
      <c r="R174" s="16">
        <f>+R175+R186+R179+R183</f>
        <v>490000000</v>
      </c>
      <c r="S174" s="14"/>
      <c r="T174" s="17"/>
      <c r="U174" s="252"/>
      <c r="V174" s="497">
        <f t="shared" ref="V174:AG174" si="116">+V175+V186+V179+V183</f>
        <v>22500000</v>
      </c>
      <c r="W174" s="497">
        <f t="shared" si="116"/>
        <v>15000000</v>
      </c>
      <c r="X174" s="498">
        <f t="shared" si="116"/>
        <v>38000000</v>
      </c>
      <c r="Y174" s="498">
        <f t="shared" si="116"/>
        <v>17000000</v>
      </c>
      <c r="Z174" s="498">
        <f t="shared" si="116"/>
        <v>20000000</v>
      </c>
      <c r="AA174" s="498">
        <f t="shared" si="116"/>
        <v>29500000</v>
      </c>
      <c r="AB174" s="498">
        <f t="shared" si="116"/>
        <v>20000000</v>
      </c>
      <c r="AC174" s="498">
        <f t="shared" si="116"/>
        <v>70000000</v>
      </c>
      <c r="AD174" s="498">
        <f t="shared" si="116"/>
        <v>45000000</v>
      </c>
      <c r="AE174" s="498">
        <f t="shared" si="116"/>
        <v>45000000</v>
      </c>
      <c r="AF174" s="498">
        <f t="shared" si="116"/>
        <v>133000000</v>
      </c>
      <c r="AG174" s="498">
        <f t="shared" si="116"/>
        <v>45000000</v>
      </c>
      <c r="AH174" s="501">
        <f t="shared" si="88"/>
        <v>500000000</v>
      </c>
      <c r="AI174" s="535"/>
      <c r="AJ174" s="535"/>
      <c r="AK174" s="536"/>
      <c r="AL174" s="536"/>
      <c r="AM174" s="536"/>
      <c r="AN174" s="532"/>
      <c r="AO174" s="532"/>
      <c r="AP174" s="533"/>
      <c r="AQ174" s="440"/>
      <c r="AR174" s="285"/>
      <c r="AS174" s="285"/>
      <c r="AT174" s="285"/>
      <c r="AU174" s="285"/>
      <c r="AV174" s="285"/>
      <c r="AW174" s="285"/>
      <c r="AX174" s="285"/>
      <c r="AY174" s="285"/>
      <c r="AZ174" s="285"/>
      <c r="BA174" s="285"/>
      <c r="BB174" s="285"/>
      <c r="BC174" s="285"/>
      <c r="BD174" s="285"/>
      <c r="BE174" s="285"/>
      <c r="BF174" s="285"/>
      <c r="BG174" s="285"/>
      <c r="BH174" s="285"/>
      <c r="BI174" s="285"/>
      <c r="BJ174" s="285"/>
      <c r="BK174" s="285"/>
      <c r="BL174" s="285"/>
      <c r="BM174" s="285"/>
      <c r="BN174" s="285"/>
      <c r="BO174" s="285"/>
      <c r="BP174" s="285"/>
      <c r="BQ174" s="285"/>
      <c r="BR174" s="285"/>
      <c r="BS174" s="285"/>
      <c r="BT174" s="285"/>
      <c r="BU174" s="285"/>
      <c r="BV174" s="285"/>
    </row>
    <row r="175" spans="2:74" ht="15" customHeight="1" x14ac:dyDescent="0.2">
      <c r="B175" s="91" t="s">
        <v>7</v>
      </c>
      <c r="C175" s="92" t="s">
        <v>20</v>
      </c>
      <c r="D175" s="92" t="s">
        <v>20</v>
      </c>
      <c r="E175" s="92" t="s">
        <v>20</v>
      </c>
      <c r="F175" s="92" t="s">
        <v>17</v>
      </c>
      <c r="G175" s="92" t="s">
        <v>10</v>
      </c>
      <c r="H175" s="92"/>
      <c r="I175" s="92"/>
      <c r="J175" s="196"/>
      <c r="K175" s="91"/>
      <c r="L175" s="412" t="s">
        <v>112</v>
      </c>
      <c r="M175" s="132"/>
      <c r="N175" s="132"/>
      <c r="O175" s="155"/>
      <c r="P175" s="155"/>
      <c r="Q175" s="434">
        <f>+Q176</f>
        <v>130000000</v>
      </c>
      <c r="R175" s="94">
        <f>+R176</f>
        <v>65000000</v>
      </c>
      <c r="S175" s="92"/>
      <c r="T175" s="95"/>
      <c r="U175" s="244"/>
      <c r="V175" s="497">
        <f>+V176</f>
        <v>7500000</v>
      </c>
      <c r="W175" s="497">
        <f>+W176</f>
        <v>0</v>
      </c>
      <c r="X175" s="498">
        <f>+X176</f>
        <v>0</v>
      </c>
      <c r="Y175" s="498">
        <f>+Y176</f>
        <v>0</v>
      </c>
      <c r="Z175" s="498">
        <f>+Z176</f>
        <v>0</v>
      </c>
      <c r="AA175" s="498">
        <f t="shared" ref="AA175:AG175" si="117">+AA176</f>
        <v>7500000</v>
      </c>
      <c r="AB175" s="498">
        <f t="shared" si="117"/>
        <v>0</v>
      </c>
      <c r="AC175" s="498">
        <f t="shared" si="117"/>
        <v>50000000</v>
      </c>
      <c r="AD175" s="498">
        <f t="shared" si="117"/>
        <v>0</v>
      </c>
      <c r="AE175" s="498">
        <f t="shared" si="117"/>
        <v>0</v>
      </c>
      <c r="AF175" s="498">
        <f t="shared" si="117"/>
        <v>0</v>
      </c>
      <c r="AG175" s="498">
        <f t="shared" si="117"/>
        <v>0</v>
      </c>
      <c r="AH175" s="501">
        <f t="shared" si="88"/>
        <v>65000000</v>
      </c>
      <c r="AI175" s="535"/>
      <c r="AJ175" s="535"/>
      <c r="AK175" s="536"/>
      <c r="AL175" s="536"/>
      <c r="AM175" s="536"/>
      <c r="AQ175" s="440"/>
      <c r="AR175" s="285"/>
      <c r="AS175" s="285"/>
      <c r="AT175" s="285"/>
      <c r="AU175" s="285"/>
      <c r="AV175" s="285"/>
      <c r="AW175" s="285"/>
      <c r="AX175" s="285"/>
      <c r="AY175" s="285"/>
      <c r="AZ175" s="285"/>
      <c r="BA175" s="285"/>
      <c r="BB175" s="285"/>
      <c r="BC175" s="285"/>
      <c r="BD175" s="285"/>
      <c r="BE175" s="285"/>
      <c r="BF175" s="285"/>
      <c r="BG175" s="285"/>
      <c r="BH175" s="285"/>
      <c r="BI175" s="285"/>
      <c r="BJ175" s="285"/>
      <c r="BK175" s="285"/>
      <c r="BL175" s="285"/>
      <c r="BM175" s="285"/>
      <c r="BN175" s="285"/>
      <c r="BO175" s="285"/>
      <c r="BP175" s="285"/>
      <c r="BQ175" s="285"/>
      <c r="BR175" s="285"/>
      <c r="BS175" s="285"/>
      <c r="BT175" s="285"/>
      <c r="BU175" s="285"/>
      <c r="BV175" s="285"/>
    </row>
    <row r="176" spans="2:74" ht="15" customHeight="1" x14ac:dyDescent="0.2">
      <c r="B176" s="397" t="s">
        <v>7</v>
      </c>
      <c r="C176" s="395" t="s">
        <v>20</v>
      </c>
      <c r="D176" s="395" t="s">
        <v>20</v>
      </c>
      <c r="E176" s="395" t="s">
        <v>20</v>
      </c>
      <c r="F176" s="395" t="s">
        <v>17</v>
      </c>
      <c r="G176" s="395" t="s">
        <v>10</v>
      </c>
      <c r="H176" s="395" t="s">
        <v>31</v>
      </c>
      <c r="I176" s="395"/>
      <c r="J176" s="405"/>
      <c r="K176" s="397"/>
      <c r="L176" s="404" t="s">
        <v>113</v>
      </c>
      <c r="M176" s="133"/>
      <c r="N176" s="133"/>
      <c r="O176" s="156"/>
      <c r="P176" s="156"/>
      <c r="Q176" s="434">
        <v>130000000</v>
      </c>
      <c r="R176" s="5">
        <f>SUM(R177:R178)</f>
        <v>65000000</v>
      </c>
      <c r="S176" s="181"/>
      <c r="T176" s="396"/>
      <c r="U176" s="245"/>
      <c r="V176" s="497">
        <f t="shared" ref="V176:AG176" si="118">SUM(V177:V178)</f>
        <v>7500000</v>
      </c>
      <c r="W176" s="497">
        <f t="shared" si="118"/>
        <v>0</v>
      </c>
      <c r="X176" s="498">
        <f t="shared" si="118"/>
        <v>0</v>
      </c>
      <c r="Y176" s="498">
        <f t="shared" si="118"/>
        <v>0</v>
      </c>
      <c r="Z176" s="498">
        <f t="shared" si="118"/>
        <v>0</v>
      </c>
      <c r="AA176" s="498">
        <f t="shared" si="118"/>
        <v>7500000</v>
      </c>
      <c r="AB176" s="498">
        <f t="shared" si="118"/>
        <v>0</v>
      </c>
      <c r="AC176" s="498">
        <f t="shared" si="118"/>
        <v>50000000</v>
      </c>
      <c r="AD176" s="498">
        <f t="shared" si="118"/>
        <v>0</v>
      </c>
      <c r="AE176" s="498">
        <f t="shared" si="118"/>
        <v>0</v>
      </c>
      <c r="AF176" s="498">
        <f t="shared" si="118"/>
        <v>0</v>
      </c>
      <c r="AG176" s="498">
        <f t="shared" si="118"/>
        <v>0</v>
      </c>
      <c r="AH176" s="501">
        <f t="shared" si="88"/>
        <v>65000000</v>
      </c>
      <c r="AI176" s="535"/>
      <c r="AJ176" s="535"/>
      <c r="AK176" s="536"/>
      <c r="AL176" s="536"/>
      <c r="AM176" s="536"/>
      <c r="AQ176" s="440"/>
      <c r="AR176" s="285"/>
      <c r="AS176" s="285"/>
      <c r="AT176" s="285"/>
      <c r="AU176" s="285"/>
      <c r="AV176" s="285"/>
      <c r="AW176" s="285"/>
      <c r="AX176" s="285"/>
      <c r="AY176" s="285"/>
      <c r="AZ176" s="285"/>
      <c r="BA176" s="285"/>
      <c r="BB176" s="285"/>
      <c r="BC176" s="285"/>
      <c r="BD176" s="285"/>
      <c r="BE176" s="285"/>
      <c r="BF176" s="285"/>
      <c r="BG176" s="285"/>
      <c r="BH176" s="285"/>
      <c r="BI176" s="285"/>
      <c r="BJ176" s="285"/>
      <c r="BK176" s="285"/>
      <c r="BL176" s="285"/>
      <c r="BM176" s="285"/>
      <c r="BN176" s="285"/>
      <c r="BO176" s="285"/>
      <c r="BP176" s="285"/>
      <c r="BQ176" s="285"/>
      <c r="BR176" s="285"/>
      <c r="BS176" s="285"/>
      <c r="BT176" s="285"/>
      <c r="BU176" s="285"/>
      <c r="BV176" s="285"/>
    </row>
    <row r="177" spans="2:74" ht="45" x14ac:dyDescent="0.2">
      <c r="B177" s="677"/>
      <c r="C177" s="678"/>
      <c r="D177" s="678"/>
      <c r="E177" s="678"/>
      <c r="F177" s="678"/>
      <c r="G177" s="678"/>
      <c r="H177" s="678"/>
      <c r="I177" s="678"/>
      <c r="J177" s="678"/>
      <c r="K177" s="398"/>
      <c r="L177" s="400" t="s">
        <v>190</v>
      </c>
      <c r="M177" s="134">
        <v>44260</v>
      </c>
      <c r="N177" s="134" t="s">
        <v>574</v>
      </c>
      <c r="O177" s="157" t="s">
        <v>326</v>
      </c>
      <c r="P177" s="157" t="s">
        <v>338</v>
      </c>
      <c r="Q177" s="434"/>
      <c r="R177" s="564">
        <v>50000000</v>
      </c>
      <c r="S177" s="402" t="s">
        <v>386</v>
      </c>
      <c r="T177" s="399"/>
      <c r="U177" s="253" t="s">
        <v>194</v>
      </c>
      <c r="V177" s="497"/>
      <c r="W177" s="497"/>
      <c r="X177" s="498"/>
      <c r="Y177" s="498"/>
      <c r="Z177" s="498"/>
      <c r="AA177" s="498"/>
      <c r="AB177" s="498"/>
      <c r="AC177" s="498">
        <v>50000000</v>
      </c>
      <c r="AD177" s="498"/>
      <c r="AE177" s="498"/>
      <c r="AF177" s="498"/>
      <c r="AG177" s="498"/>
      <c r="AH177" s="501">
        <f t="shared" si="88"/>
        <v>50000000</v>
      </c>
      <c r="AI177" s="535">
        <v>67421</v>
      </c>
      <c r="AJ177" s="538">
        <v>44438</v>
      </c>
      <c r="AK177" s="536">
        <v>5176500</v>
      </c>
      <c r="AL177" s="536">
        <v>5176500</v>
      </c>
      <c r="AM177" s="536">
        <v>5176500</v>
      </c>
      <c r="AN177" s="532">
        <f>+R177-AL177</f>
        <v>44823500</v>
      </c>
      <c r="AO177" s="532">
        <f>+AL177-AM177</f>
        <v>0</v>
      </c>
      <c r="AP177" s="533">
        <f>R177-AL177+AO177</f>
        <v>44823500</v>
      </c>
      <c r="AQ177" s="440"/>
      <c r="AR177" s="285"/>
      <c r="AS177" s="285"/>
      <c r="AT177" s="285"/>
      <c r="AU177" s="285"/>
      <c r="AV177" s="285"/>
      <c r="AW177" s="285"/>
      <c r="AX177" s="285"/>
      <c r="AY177" s="285"/>
      <c r="AZ177" s="285"/>
      <c r="BA177" s="285"/>
      <c r="BB177" s="285"/>
      <c r="BC177" s="285"/>
      <c r="BD177" s="285"/>
      <c r="BE177" s="285"/>
      <c r="BF177" s="285"/>
      <c r="BG177" s="285"/>
      <c r="BH177" s="285"/>
      <c r="BI177" s="285"/>
      <c r="BJ177" s="285"/>
      <c r="BK177" s="285"/>
      <c r="BL177" s="285"/>
      <c r="BM177" s="285"/>
      <c r="BN177" s="285"/>
      <c r="BO177" s="285"/>
      <c r="BP177" s="285"/>
      <c r="BQ177" s="285"/>
      <c r="BR177" s="285"/>
      <c r="BS177" s="285"/>
      <c r="BT177" s="285"/>
      <c r="BU177" s="285"/>
      <c r="BV177" s="285"/>
    </row>
    <row r="178" spans="2:74" ht="45" customHeight="1" x14ac:dyDescent="0.2">
      <c r="B178" s="682"/>
      <c r="C178" s="683"/>
      <c r="D178" s="683"/>
      <c r="E178" s="683"/>
      <c r="F178" s="683"/>
      <c r="G178" s="683"/>
      <c r="H178" s="683"/>
      <c r="I178" s="683"/>
      <c r="J178" s="683"/>
      <c r="K178" s="398"/>
      <c r="L178" s="400" t="s">
        <v>191</v>
      </c>
      <c r="M178" s="134">
        <v>44206</v>
      </c>
      <c r="N178" s="157" t="s">
        <v>375</v>
      </c>
      <c r="O178" s="157" t="s">
        <v>375</v>
      </c>
      <c r="P178" s="157" t="s">
        <v>375</v>
      </c>
      <c r="Q178" s="434"/>
      <c r="R178" s="564">
        <v>15000000</v>
      </c>
      <c r="S178" s="402" t="s">
        <v>386</v>
      </c>
      <c r="T178" s="399"/>
      <c r="U178" s="461" t="s">
        <v>194</v>
      </c>
      <c r="V178" s="497">
        <v>7500000</v>
      </c>
      <c r="W178" s="497"/>
      <c r="X178" s="498"/>
      <c r="Y178" s="498"/>
      <c r="Z178" s="498"/>
      <c r="AA178" s="498">
        <v>7500000</v>
      </c>
      <c r="AB178" s="498"/>
      <c r="AC178" s="498"/>
      <c r="AD178" s="498"/>
      <c r="AE178" s="498"/>
      <c r="AF178" s="498"/>
      <c r="AG178" s="498"/>
      <c r="AH178" s="501">
        <f t="shared" si="88"/>
        <v>15000000</v>
      </c>
      <c r="AI178" s="535">
        <v>35221</v>
      </c>
      <c r="AJ178" s="538">
        <v>44300</v>
      </c>
      <c r="AK178" s="536">
        <v>3365487</v>
      </c>
      <c r="AL178" s="536">
        <v>3365487</v>
      </c>
      <c r="AM178" s="536">
        <v>3365487</v>
      </c>
      <c r="AN178" s="532">
        <f>+R178-AL178</f>
        <v>11634513</v>
      </c>
      <c r="AO178" s="532">
        <f>+AL178-AM178</f>
        <v>0</v>
      </c>
      <c r="AP178" s="533">
        <f>R178-AL178+AO178</f>
        <v>11634513</v>
      </c>
      <c r="AQ178" s="440"/>
      <c r="AR178" s="285"/>
      <c r="AS178" s="285"/>
      <c r="AT178" s="285"/>
      <c r="AU178" s="285"/>
      <c r="AV178" s="285"/>
      <c r="AW178" s="285"/>
      <c r="AX178" s="285"/>
      <c r="AY178" s="285"/>
      <c r="AZ178" s="285"/>
      <c r="BA178" s="285"/>
      <c r="BB178" s="285"/>
      <c r="BC178" s="285"/>
      <c r="BD178" s="285"/>
      <c r="BE178" s="285"/>
      <c r="BF178" s="285"/>
      <c r="BG178" s="285"/>
      <c r="BH178" s="285"/>
      <c r="BI178" s="285"/>
      <c r="BJ178" s="285"/>
      <c r="BK178" s="285"/>
      <c r="BL178" s="285"/>
      <c r="BM178" s="285"/>
      <c r="BN178" s="285"/>
      <c r="BO178" s="285"/>
      <c r="BP178" s="285"/>
      <c r="BQ178" s="285"/>
      <c r="BR178" s="285"/>
      <c r="BS178" s="285"/>
      <c r="BT178" s="285"/>
      <c r="BU178" s="285"/>
      <c r="BV178" s="285"/>
    </row>
    <row r="179" spans="2:74" ht="19.5" customHeight="1" x14ac:dyDescent="0.2">
      <c r="B179" s="91" t="s">
        <v>7</v>
      </c>
      <c r="C179" s="92" t="s">
        <v>20</v>
      </c>
      <c r="D179" s="92" t="s">
        <v>20</v>
      </c>
      <c r="E179" s="92" t="s">
        <v>20</v>
      </c>
      <c r="F179" s="92" t="s">
        <v>17</v>
      </c>
      <c r="G179" s="92" t="s">
        <v>11</v>
      </c>
      <c r="H179" s="92"/>
      <c r="I179" s="92"/>
      <c r="J179" s="196"/>
      <c r="K179" s="91"/>
      <c r="L179" s="412" t="s">
        <v>144</v>
      </c>
      <c r="M179" s="132"/>
      <c r="N179" s="132"/>
      <c r="O179" s="155" t="s">
        <v>683</v>
      </c>
      <c r="P179" s="155"/>
      <c r="Q179" s="434">
        <f>+Q180</f>
        <v>30000000</v>
      </c>
      <c r="R179" s="94">
        <f>+R180</f>
        <v>43000000</v>
      </c>
      <c r="S179" s="92"/>
      <c r="T179" s="95"/>
      <c r="U179" s="244"/>
      <c r="V179" s="497">
        <f>+V180</f>
        <v>0</v>
      </c>
      <c r="W179" s="497">
        <f>+W180</f>
        <v>0</v>
      </c>
      <c r="X179" s="498">
        <f>+X180</f>
        <v>23000000</v>
      </c>
      <c r="Y179" s="498">
        <f>+Y180</f>
        <v>0</v>
      </c>
      <c r="Z179" s="498">
        <f>+Z180</f>
        <v>0</v>
      </c>
      <c r="AA179" s="498">
        <f t="shared" ref="AA179:AG179" si="119">+AA180</f>
        <v>2000000</v>
      </c>
      <c r="AB179" s="498">
        <f t="shared" si="119"/>
        <v>0</v>
      </c>
      <c r="AC179" s="498">
        <f t="shared" si="119"/>
        <v>0</v>
      </c>
      <c r="AD179" s="498">
        <f t="shared" si="119"/>
        <v>0</v>
      </c>
      <c r="AE179" s="498">
        <f t="shared" si="119"/>
        <v>0</v>
      </c>
      <c r="AF179" s="498">
        <f t="shared" si="119"/>
        <v>28000000</v>
      </c>
      <c r="AG179" s="498">
        <f t="shared" si="119"/>
        <v>0</v>
      </c>
      <c r="AH179" s="501">
        <f t="shared" si="88"/>
        <v>53000000</v>
      </c>
      <c r="AI179" s="535"/>
      <c r="AJ179" s="535"/>
      <c r="AK179" s="536"/>
      <c r="AL179" s="536"/>
      <c r="AM179" s="536"/>
      <c r="AQ179" s="440"/>
      <c r="AR179" s="285"/>
      <c r="AS179" s="285"/>
      <c r="AT179" s="285"/>
      <c r="AU179" s="285"/>
      <c r="AV179" s="285"/>
      <c r="AW179" s="285"/>
      <c r="AX179" s="285"/>
      <c r="AY179" s="285"/>
      <c r="AZ179" s="285"/>
      <c r="BA179" s="285"/>
      <c r="BB179" s="285"/>
      <c r="BC179" s="285"/>
      <c r="BD179" s="285"/>
      <c r="BE179" s="285"/>
      <c r="BF179" s="285"/>
      <c r="BG179" s="285"/>
      <c r="BH179" s="285"/>
      <c r="BI179" s="285"/>
      <c r="BJ179" s="285"/>
      <c r="BK179" s="285"/>
      <c r="BL179" s="285"/>
      <c r="BM179" s="285"/>
      <c r="BN179" s="285"/>
      <c r="BO179" s="285"/>
      <c r="BP179" s="285"/>
      <c r="BQ179" s="285"/>
      <c r="BR179" s="285"/>
      <c r="BS179" s="285"/>
      <c r="BT179" s="285"/>
      <c r="BU179" s="285"/>
      <c r="BV179" s="285"/>
    </row>
    <row r="180" spans="2:74" ht="15" customHeight="1" x14ac:dyDescent="0.2">
      <c r="B180" s="397" t="s">
        <v>7</v>
      </c>
      <c r="C180" s="395" t="s">
        <v>20</v>
      </c>
      <c r="D180" s="395" t="s">
        <v>20</v>
      </c>
      <c r="E180" s="395" t="s">
        <v>20</v>
      </c>
      <c r="F180" s="395" t="s">
        <v>17</v>
      </c>
      <c r="G180" s="395" t="s">
        <v>11</v>
      </c>
      <c r="H180" s="395" t="s">
        <v>8</v>
      </c>
      <c r="I180" s="395"/>
      <c r="J180" s="405"/>
      <c r="K180" s="397"/>
      <c r="L180" s="404" t="s">
        <v>145</v>
      </c>
      <c r="M180" s="133"/>
      <c r="N180" s="133"/>
      <c r="O180" s="156"/>
      <c r="P180" s="156"/>
      <c r="Q180" s="434">
        <v>30000000</v>
      </c>
      <c r="R180" s="5">
        <f>SUM(R181:R182)</f>
        <v>43000000</v>
      </c>
      <c r="S180" s="181"/>
      <c r="T180" s="396"/>
      <c r="U180" s="245"/>
      <c r="V180" s="497">
        <f>SUM(V181:V182)</f>
        <v>0</v>
      </c>
      <c r="W180" s="497">
        <f t="shared" ref="W180:AF180" si="120">SUM(W181:W182)</f>
        <v>0</v>
      </c>
      <c r="X180" s="498">
        <f t="shared" si="120"/>
        <v>23000000</v>
      </c>
      <c r="Y180" s="498">
        <f t="shared" si="120"/>
        <v>0</v>
      </c>
      <c r="Z180" s="498">
        <f t="shared" si="120"/>
        <v>0</v>
      </c>
      <c r="AA180" s="498">
        <f t="shared" si="120"/>
        <v>2000000</v>
      </c>
      <c r="AB180" s="498">
        <f t="shared" si="120"/>
        <v>0</v>
      </c>
      <c r="AC180" s="498">
        <f t="shared" si="120"/>
        <v>0</v>
      </c>
      <c r="AD180" s="498">
        <f t="shared" si="120"/>
        <v>0</v>
      </c>
      <c r="AE180" s="498">
        <f t="shared" si="120"/>
        <v>0</v>
      </c>
      <c r="AF180" s="498">
        <f t="shared" si="120"/>
        <v>28000000</v>
      </c>
      <c r="AG180" s="498">
        <f t="shared" ref="AG180" si="121">SUM(AG181:AG182)</f>
        <v>0</v>
      </c>
      <c r="AH180" s="501">
        <f t="shared" si="88"/>
        <v>53000000</v>
      </c>
      <c r="AI180" s="535"/>
      <c r="AJ180" s="535"/>
      <c r="AK180" s="536"/>
      <c r="AL180" s="536"/>
      <c r="AM180" s="536"/>
      <c r="AQ180" s="440"/>
      <c r="AR180" s="285"/>
      <c r="AS180" s="285"/>
      <c r="AT180" s="285"/>
      <c r="AU180" s="285"/>
      <c r="AV180" s="285"/>
      <c r="AW180" s="285"/>
      <c r="AX180" s="285"/>
      <c r="AY180" s="285"/>
      <c r="AZ180" s="285"/>
      <c r="BA180" s="285"/>
      <c r="BB180" s="285"/>
      <c r="BC180" s="285"/>
      <c r="BD180" s="285"/>
      <c r="BE180" s="285"/>
      <c r="BF180" s="285"/>
      <c r="BG180" s="285"/>
      <c r="BH180" s="285"/>
      <c r="BI180" s="285"/>
      <c r="BJ180" s="285"/>
      <c r="BK180" s="285"/>
      <c r="BL180" s="285"/>
      <c r="BM180" s="285"/>
      <c r="BN180" s="285"/>
      <c r="BO180" s="285"/>
      <c r="BP180" s="285"/>
      <c r="BQ180" s="285"/>
      <c r="BR180" s="285"/>
      <c r="BS180" s="285"/>
      <c r="BT180" s="285"/>
      <c r="BU180" s="285"/>
      <c r="BV180" s="285"/>
    </row>
    <row r="181" spans="2:74" ht="30" customHeight="1" x14ac:dyDescent="0.2">
      <c r="B181" s="677"/>
      <c r="C181" s="678"/>
      <c r="D181" s="678"/>
      <c r="E181" s="678"/>
      <c r="F181" s="678"/>
      <c r="G181" s="678"/>
      <c r="H181" s="678"/>
      <c r="I181" s="678"/>
      <c r="J181" s="737"/>
      <c r="K181" s="398"/>
      <c r="L181" s="400" t="s">
        <v>498</v>
      </c>
      <c r="M181" s="134">
        <v>44272</v>
      </c>
      <c r="N181" s="134" t="s">
        <v>573</v>
      </c>
      <c r="O181" s="157" t="s">
        <v>569</v>
      </c>
      <c r="P181" s="157" t="s">
        <v>483</v>
      </c>
      <c r="Q181" s="434"/>
      <c r="R181" s="101">
        <f>30000000-700000</f>
        <v>29300000</v>
      </c>
      <c r="S181" s="453" t="s">
        <v>386</v>
      </c>
      <c r="T181" s="399"/>
      <c r="U181" s="253" t="s">
        <v>466</v>
      </c>
      <c r="V181" s="497"/>
      <c r="W181" s="497"/>
      <c r="X181" s="498"/>
      <c r="Y181" s="498"/>
      <c r="Z181" s="498"/>
      <c r="AA181" s="498">
        <v>2000000</v>
      </c>
      <c r="AB181" s="498"/>
      <c r="AC181" s="498"/>
      <c r="AD181" s="498"/>
      <c r="AE181" s="498"/>
      <c r="AF181" s="498">
        <v>28000000</v>
      </c>
      <c r="AG181" s="498"/>
      <c r="AH181" s="501">
        <f t="shared" si="88"/>
        <v>30000000</v>
      </c>
      <c r="AI181" s="535">
        <v>25021</v>
      </c>
      <c r="AJ181" s="538">
        <v>44264</v>
      </c>
      <c r="AK181" s="536">
        <v>30000000</v>
      </c>
      <c r="AL181" s="536">
        <v>27465000</v>
      </c>
      <c r="AM181" s="536">
        <v>27465000</v>
      </c>
      <c r="AN181" s="532">
        <f>+R181-AL181</f>
        <v>1835000</v>
      </c>
      <c r="AO181" s="532">
        <f>+AL181-AM181</f>
        <v>0</v>
      </c>
      <c r="AP181" s="533">
        <f>R181-AL181+AO181</f>
        <v>1835000</v>
      </c>
      <c r="AQ181" s="440"/>
      <c r="AR181" s="285"/>
      <c r="AS181" s="285"/>
      <c r="AT181" s="285"/>
      <c r="AU181" s="285"/>
      <c r="AV181" s="285"/>
      <c r="AW181" s="285"/>
      <c r="AX181" s="285"/>
      <c r="AY181" s="285"/>
      <c r="AZ181" s="285"/>
      <c r="BA181" s="285"/>
      <c r="BB181" s="285"/>
      <c r="BC181" s="285"/>
      <c r="BD181" s="285"/>
      <c r="BE181" s="285"/>
      <c r="BF181" s="285"/>
      <c r="BG181" s="285"/>
      <c r="BH181" s="285"/>
      <c r="BI181" s="285"/>
      <c r="BJ181" s="285"/>
      <c r="BK181" s="285"/>
      <c r="BL181" s="285"/>
      <c r="BM181" s="285"/>
      <c r="BN181" s="285"/>
      <c r="BO181" s="285"/>
      <c r="BP181" s="285"/>
      <c r="BQ181" s="285"/>
      <c r="BR181" s="285"/>
      <c r="BS181" s="285"/>
      <c r="BT181" s="285"/>
      <c r="BU181" s="285"/>
      <c r="BV181" s="285"/>
    </row>
    <row r="182" spans="2:74" s="440" customFormat="1" ht="75" x14ac:dyDescent="0.2">
      <c r="B182" s="738"/>
      <c r="C182" s="739"/>
      <c r="D182" s="739"/>
      <c r="E182" s="739"/>
      <c r="F182" s="739"/>
      <c r="G182" s="739"/>
      <c r="H182" s="739"/>
      <c r="I182" s="739"/>
      <c r="J182" s="740"/>
      <c r="K182" s="450" t="s">
        <v>567</v>
      </c>
      <c r="L182" s="451" t="s">
        <v>568</v>
      </c>
      <c r="M182" s="134">
        <v>44211</v>
      </c>
      <c r="N182" s="134" t="s">
        <v>540</v>
      </c>
      <c r="O182" s="157" t="s">
        <v>324</v>
      </c>
      <c r="P182" s="157" t="s">
        <v>340</v>
      </c>
      <c r="Q182" s="434"/>
      <c r="R182" s="564">
        <f>23000000+20000000-29300000</f>
        <v>13700000</v>
      </c>
      <c r="S182" s="453" t="s">
        <v>386</v>
      </c>
      <c r="T182" s="449"/>
      <c r="U182" s="461" t="s">
        <v>194</v>
      </c>
      <c r="V182" s="497"/>
      <c r="W182" s="497"/>
      <c r="X182" s="498">
        <v>23000000</v>
      </c>
      <c r="Y182" s="498"/>
      <c r="Z182" s="498"/>
      <c r="AA182" s="498"/>
      <c r="AB182" s="498"/>
      <c r="AC182" s="498"/>
      <c r="AD182" s="498"/>
      <c r="AE182" s="498"/>
      <c r="AF182" s="498"/>
      <c r="AG182" s="498"/>
      <c r="AH182" s="501">
        <f t="shared" si="88"/>
        <v>23000000</v>
      </c>
      <c r="AI182" s="535">
        <v>9021</v>
      </c>
      <c r="AJ182" s="538">
        <v>44222</v>
      </c>
      <c r="AK182" s="536">
        <v>23000000</v>
      </c>
      <c r="AL182" s="536">
        <v>13700000</v>
      </c>
      <c r="AM182" s="536">
        <v>13700000</v>
      </c>
      <c r="AN182" s="532">
        <f>+R182-AL182</f>
        <v>0</v>
      </c>
      <c r="AO182" s="532">
        <f>+AL182-AM182</f>
        <v>0</v>
      </c>
      <c r="AP182" s="532">
        <f>R182-AL182+AO182</f>
        <v>0</v>
      </c>
      <c r="AR182" s="285"/>
      <c r="AS182" s="285"/>
      <c r="AT182" s="285"/>
      <c r="AU182" s="285"/>
      <c r="AV182" s="285"/>
      <c r="AW182" s="285"/>
      <c r="AX182" s="285"/>
      <c r="AY182" s="285"/>
      <c r="AZ182" s="285"/>
      <c r="BA182" s="285"/>
      <c r="BB182" s="285"/>
      <c r="BC182" s="285"/>
      <c r="BD182" s="285"/>
      <c r="BE182" s="285"/>
      <c r="BF182" s="285"/>
      <c r="BG182" s="285"/>
      <c r="BH182" s="285"/>
      <c r="BI182" s="285"/>
      <c r="BJ182" s="285"/>
      <c r="BK182" s="285"/>
      <c r="BL182" s="285"/>
      <c r="BM182" s="285"/>
      <c r="BN182" s="285"/>
      <c r="BO182" s="285"/>
      <c r="BP182" s="285"/>
      <c r="BQ182" s="285"/>
      <c r="BR182" s="285"/>
      <c r="BS182" s="285"/>
      <c r="BT182" s="285"/>
      <c r="BU182" s="285"/>
      <c r="BV182" s="285"/>
    </row>
    <row r="183" spans="2:74" ht="45" customHeight="1" x14ac:dyDescent="0.2">
      <c r="B183" s="91" t="s">
        <v>7</v>
      </c>
      <c r="C183" s="92" t="s">
        <v>20</v>
      </c>
      <c r="D183" s="92" t="s">
        <v>20</v>
      </c>
      <c r="E183" s="92" t="s">
        <v>20</v>
      </c>
      <c r="F183" s="92" t="s">
        <v>17</v>
      </c>
      <c r="G183" s="92" t="s">
        <v>12</v>
      </c>
      <c r="H183" s="92"/>
      <c r="I183" s="92"/>
      <c r="J183" s="196"/>
      <c r="K183" s="91"/>
      <c r="L183" s="412" t="s">
        <v>147</v>
      </c>
      <c r="M183" s="132"/>
      <c r="N183" s="132"/>
      <c r="O183" s="155"/>
      <c r="P183" s="155"/>
      <c r="Q183" s="434">
        <f>+Q184</f>
        <v>322000000</v>
      </c>
      <c r="R183" s="94">
        <f>+R184</f>
        <v>322000000</v>
      </c>
      <c r="S183" s="92"/>
      <c r="T183" s="95"/>
      <c r="U183" s="244"/>
      <c r="V183" s="497">
        <f>+V184</f>
        <v>15000000</v>
      </c>
      <c r="W183" s="497">
        <f>+W184</f>
        <v>15000000</v>
      </c>
      <c r="X183" s="498">
        <f>+X184</f>
        <v>15000000</v>
      </c>
      <c r="Y183" s="498">
        <f>+Y184</f>
        <v>17000000</v>
      </c>
      <c r="Z183" s="498">
        <f>+Z184</f>
        <v>20000000</v>
      </c>
      <c r="AA183" s="498">
        <f t="shared" ref="AA183:AG183" si="122">+AA184</f>
        <v>20000000</v>
      </c>
      <c r="AB183" s="498">
        <f t="shared" si="122"/>
        <v>20000000</v>
      </c>
      <c r="AC183" s="498">
        <f t="shared" si="122"/>
        <v>20000000</v>
      </c>
      <c r="AD183" s="498">
        <f t="shared" si="122"/>
        <v>45000000</v>
      </c>
      <c r="AE183" s="498">
        <f t="shared" si="122"/>
        <v>45000000</v>
      </c>
      <c r="AF183" s="498">
        <f t="shared" si="122"/>
        <v>45000000</v>
      </c>
      <c r="AG183" s="498">
        <f t="shared" si="122"/>
        <v>45000000</v>
      </c>
      <c r="AH183" s="501">
        <f t="shared" si="88"/>
        <v>322000000</v>
      </c>
      <c r="AI183" s="535"/>
      <c r="AJ183" s="535"/>
      <c r="AK183" s="536"/>
      <c r="AL183" s="536"/>
      <c r="AM183" s="536"/>
      <c r="AQ183" s="440"/>
      <c r="AR183" s="285"/>
      <c r="AS183" s="285"/>
      <c r="AT183" s="285"/>
      <c r="AU183" s="285"/>
      <c r="AV183" s="285"/>
      <c r="AW183" s="285"/>
      <c r="AX183" s="285"/>
      <c r="AY183" s="285"/>
      <c r="AZ183" s="285"/>
      <c r="BA183" s="285"/>
      <c r="BB183" s="285"/>
      <c r="BC183" s="285"/>
      <c r="BD183" s="285"/>
      <c r="BE183" s="285"/>
      <c r="BF183" s="285"/>
      <c r="BG183" s="285"/>
      <c r="BH183" s="285"/>
      <c r="BI183" s="285"/>
      <c r="BJ183" s="285"/>
      <c r="BK183" s="285"/>
      <c r="BL183" s="285"/>
      <c r="BM183" s="285"/>
      <c r="BN183" s="285"/>
      <c r="BO183" s="285"/>
      <c r="BP183" s="285"/>
      <c r="BQ183" s="285"/>
      <c r="BR183" s="285"/>
      <c r="BS183" s="285"/>
      <c r="BT183" s="285"/>
      <c r="BU183" s="285"/>
      <c r="BV183" s="285"/>
    </row>
    <row r="184" spans="2:74" ht="30" customHeight="1" x14ac:dyDescent="0.2">
      <c r="B184" s="397" t="s">
        <v>7</v>
      </c>
      <c r="C184" s="395" t="s">
        <v>20</v>
      </c>
      <c r="D184" s="395" t="s">
        <v>20</v>
      </c>
      <c r="E184" s="395" t="s">
        <v>20</v>
      </c>
      <c r="F184" s="395" t="s">
        <v>17</v>
      </c>
      <c r="G184" s="395" t="s">
        <v>12</v>
      </c>
      <c r="H184" s="395" t="s">
        <v>8</v>
      </c>
      <c r="I184" s="395"/>
      <c r="J184" s="405"/>
      <c r="K184" s="397"/>
      <c r="L184" s="404" t="s">
        <v>148</v>
      </c>
      <c r="M184" s="136"/>
      <c r="N184" s="136"/>
      <c r="O184" s="156"/>
      <c r="P184" s="156"/>
      <c r="Q184" s="434">
        <v>322000000</v>
      </c>
      <c r="R184" s="8">
        <f>SUM(R185:R185)</f>
        <v>322000000</v>
      </c>
      <c r="S184" s="181"/>
      <c r="T184" s="396"/>
      <c r="U184" s="245"/>
      <c r="V184" s="497">
        <f>SUM(V185:V185)</f>
        <v>15000000</v>
      </c>
      <c r="W184" s="497">
        <f>SUM(W185:W185)</f>
        <v>15000000</v>
      </c>
      <c r="X184" s="498">
        <f>SUM(X185:X185)</f>
        <v>15000000</v>
      </c>
      <c r="Y184" s="498">
        <f>SUM(Y185:Y185)</f>
        <v>17000000</v>
      </c>
      <c r="Z184" s="498">
        <f>SUM(Z185:Z185)</f>
        <v>20000000</v>
      </c>
      <c r="AA184" s="498">
        <f t="shared" ref="AA184:AG184" si="123">SUM(AA185:AA185)</f>
        <v>20000000</v>
      </c>
      <c r="AB184" s="498">
        <f t="shared" si="123"/>
        <v>20000000</v>
      </c>
      <c r="AC184" s="498">
        <f t="shared" si="123"/>
        <v>20000000</v>
      </c>
      <c r="AD184" s="498">
        <f t="shared" si="123"/>
        <v>45000000</v>
      </c>
      <c r="AE184" s="498">
        <f t="shared" si="123"/>
        <v>45000000</v>
      </c>
      <c r="AF184" s="498">
        <f t="shared" si="123"/>
        <v>45000000</v>
      </c>
      <c r="AG184" s="498">
        <f t="shared" si="123"/>
        <v>45000000</v>
      </c>
      <c r="AH184" s="501">
        <f t="shared" si="88"/>
        <v>322000000</v>
      </c>
      <c r="AI184" s="535"/>
      <c r="AJ184" s="535"/>
      <c r="AK184" s="536"/>
      <c r="AL184" s="536"/>
      <c r="AM184" s="536"/>
      <c r="AQ184" s="440"/>
      <c r="AR184" s="285"/>
      <c r="AS184" s="285"/>
      <c r="AT184" s="285"/>
      <c r="AU184" s="285"/>
      <c r="AV184" s="285"/>
      <c r="AW184" s="285"/>
      <c r="AX184" s="285"/>
      <c r="AY184" s="285"/>
      <c r="AZ184" s="285"/>
      <c r="BA184" s="285"/>
      <c r="BB184" s="285"/>
      <c r="BC184" s="285"/>
      <c r="BD184" s="285"/>
      <c r="BE184" s="285"/>
      <c r="BF184" s="285"/>
      <c r="BG184" s="285"/>
      <c r="BH184" s="285"/>
      <c r="BI184" s="285"/>
      <c r="BJ184" s="285"/>
      <c r="BK184" s="285"/>
      <c r="BL184" s="285"/>
      <c r="BM184" s="285"/>
      <c r="BN184" s="285"/>
      <c r="BO184" s="285"/>
      <c r="BP184" s="285"/>
      <c r="BQ184" s="285"/>
      <c r="BR184" s="285"/>
      <c r="BS184" s="285"/>
      <c r="BT184" s="285"/>
      <c r="BU184" s="285"/>
      <c r="BV184" s="285"/>
    </row>
    <row r="185" spans="2:74" ht="15" customHeight="1" x14ac:dyDescent="0.2">
      <c r="B185" s="677"/>
      <c r="C185" s="678"/>
      <c r="D185" s="678"/>
      <c r="E185" s="678"/>
      <c r="F185" s="678"/>
      <c r="G185" s="678"/>
      <c r="H185" s="678"/>
      <c r="I185" s="678"/>
      <c r="J185" s="678"/>
      <c r="K185" s="398"/>
      <c r="L185" s="400" t="s">
        <v>273</v>
      </c>
      <c r="M185" s="134">
        <v>44198</v>
      </c>
      <c r="N185" s="134" t="s">
        <v>540</v>
      </c>
      <c r="O185" s="157" t="s">
        <v>301</v>
      </c>
      <c r="P185" s="157" t="s">
        <v>375</v>
      </c>
      <c r="Q185" s="434"/>
      <c r="R185" s="101">
        <f>322000000</f>
        <v>322000000</v>
      </c>
      <c r="S185" s="453" t="s">
        <v>386</v>
      </c>
      <c r="T185" s="399"/>
      <c r="U185" s="253" t="s">
        <v>271</v>
      </c>
      <c r="V185" s="497">
        <v>15000000</v>
      </c>
      <c r="W185" s="497">
        <v>15000000</v>
      </c>
      <c r="X185" s="498">
        <v>15000000</v>
      </c>
      <c r="Y185" s="498">
        <v>17000000</v>
      </c>
      <c r="Z185" s="498">
        <v>20000000</v>
      </c>
      <c r="AA185" s="498">
        <v>20000000</v>
      </c>
      <c r="AB185" s="498">
        <v>20000000</v>
      </c>
      <c r="AC185" s="498">
        <v>20000000</v>
      </c>
      <c r="AD185" s="498">
        <v>45000000</v>
      </c>
      <c r="AE185" s="498">
        <v>45000000</v>
      </c>
      <c r="AF185" s="498">
        <v>45000000</v>
      </c>
      <c r="AG185" s="498">
        <v>45000000</v>
      </c>
      <c r="AH185" s="501">
        <f>SUM(V185:AG185)</f>
        <v>322000000</v>
      </c>
      <c r="AI185" s="535"/>
      <c r="AJ185" s="535"/>
      <c r="AK185" s="536">
        <v>154721070</v>
      </c>
      <c r="AL185" s="536">
        <v>170665187</v>
      </c>
      <c r="AM185" s="536">
        <v>170665187</v>
      </c>
      <c r="AN185" s="532">
        <v>30000000</v>
      </c>
      <c r="AO185" s="532">
        <f>+AL185-AM185</f>
        <v>0</v>
      </c>
      <c r="AP185" s="533">
        <f>R185-AL185+AO185</f>
        <v>151334813</v>
      </c>
      <c r="AQ185" s="440"/>
      <c r="AR185" s="285"/>
      <c r="AS185" s="285"/>
      <c r="AT185" s="285"/>
      <c r="AU185" s="285"/>
      <c r="AV185" s="285"/>
      <c r="AW185" s="285"/>
      <c r="AX185" s="285"/>
      <c r="AY185" s="285"/>
      <c r="AZ185" s="285"/>
      <c r="BA185" s="285"/>
      <c r="BB185" s="285"/>
      <c r="BC185" s="285"/>
      <c r="BD185" s="285"/>
      <c r="BE185" s="285"/>
      <c r="BF185" s="285"/>
      <c r="BG185" s="285"/>
      <c r="BH185" s="285"/>
      <c r="BI185" s="285"/>
      <c r="BJ185" s="285"/>
      <c r="BK185" s="285"/>
      <c r="BL185" s="285"/>
      <c r="BM185" s="285"/>
      <c r="BN185" s="285"/>
      <c r="BO185" s="285"/>
      <c r="BP185" s="285"/>
      <c r="BQ185" s="285"/>
      <c r="BR185" s="285"/>
      <c r="BS185" s="285"/>
      <c r="BT185" s="285"/>
      <c r="BU185" s="285"/>
      <c r="BV185" s="285"/>
    </row>
    <row r="186" spans="2:74" ht="15" customHeight="1" x14ac:dyDescent="0.2">
      <c r="B186" s="91" t="s">
        <v>7</v>
      </c>
      <c r="C186" s="92" t="s">
        <v>20</v>
      </c>
      <c r="D186" s="92" t="s">
        <v>20</v>
      </c>
      <c r="E186" s="92" t="s">
        <v>20</v>
      </c>
      <c r="F186" s="92" t="s">
        <v>17</v>
      </c>
      <c r="G186" s="92" t="s">
        <v>14</v>
      </c>
      <c r="H186" s="92"/>
      <c r="I186" s="92"/>
      <c r="J186" s="196"/>
      <c r="K186" s="91"/>
      <c r="L186" s="412" t="s">
        <v>114</v>
      </c>
      <c r="M186" s="132"/>
      <c r="N186" s="132"/>
      <c r="O186" s="155"/>
      <c r="P186" s="155"/>
      <c r="Q186" s="434">
        <f>SUM(Q187:Q187)</f>
        <v>35000000</v>
      </c>
      <c r="R186" s="94">
        <f>SUM(R187:R187)</f>
        <v>60000000</v>
      </c>
      <c r="S186" s="92"/>
      <c r="T186" s="95"/>
      <c r="U186" s="244"/>
      <c r="V186" s="497">
        <f t="shared" ref="V186:AG186" si="124">SUM(V187:V187)</f>
        <v>0</v>
      </c>
      <c r="W186" s="497">
        <f t="shared" si="124"/>
        <v>0</v>
      </c>
      <c r="X186" s="498">
        <f t="shared" si="124"/>
        <v>0</v>
      </c>
      <c r="Y186" s="498">
        <f t="shared" si="124"/>
        <v>0</v>
      </c>
      <c r="Z186" s="498">
        <f t="shared" si="124"/>
        <v>0</v>
      </c>
      <c r="AA186" s="498">
        <f t="shared" si="124"/>
        <v>0</v>
      </c>
      <c r="AB186" s="498">
        <f t="shared" si="124"/>
        <v>0</v>
      </c>
      <c r="AC186" s="498">
        <f t="shared" si="124"/>
        <v>0</v>
      </c>
      <c r="AD186" s="498">
        <f t="shared" si="124"/>
        <v>0</v>
      </c>
      <c r="AE186" s="498">
        <f t="shared" si="124"/>
        <v>0</v>
      </c>
      <c r="AF186" s="498">
        <f t="shared" si="124"/>
        <v>60000000</v>
      </c>
      <c r="AG186" s="498">
        <f t="shared" si="124"/>
        <v>0</v>
      </c>
      <c r="AH186" s="501">
        <f t="shared" si="88"/>
        <v>60000000</v>
      </c>
      <c r="AI186" s="535"/>
      <c r="AJ186" s="535"/>
      <c r="AK186" s="536"/>
      <c r="AL186" s="536"/>
      <c r="AM186" s="536"/>
      <c r="AQ186" s="440"/>
      <c r="AR186" s="285"/>
      <c r="AS186" s="285"/>
      <c r="AT186" s="285"/>
      <c r="AU186" s="285"/>
      <c r="AV186" s="285"/>
      <c r="AW186" s="285"/>
      <c r="AX186" s="285"/>
      <c r="AY186" s="285"/>
      <c r="AZ186" s="285"/>
      <c r="BA186" s="285"/>
      <c r="BB186" s="285"/>
      <c r="BC186" s="285"/>
      <c r="BD186" s="285"/>
      <c r="BE186" s="285"/>
      <c r="BF186" s="285"/>
      <c r="BG186" s="285"/>
      <c r="BH186" s="285"/>
      <c r="BI186" s="285"/>
      <c r="BJ186" s="285"/>
      <c r="BK186" s="285"/>
      <c r="BL186" s="285"/>
      <c r="BM186" s="285"/>
      <c r="BN186" s="285"/>
      <c r="BO186" s="285"/>
      <c r="BP186" s="285"/>
      <c r="BQ186" s="285"/>
      <c r="BR186" s="285"/>
      <c r="BS186" s="285"/>
      <c r="BT186" s="285"/>
      <c r="BU186" s="285"/>
      <c r="BV186" s="285"/>
    </row>
    <row r="187" spans="2:74" ht="15" customHeight="1" x14ac:dyDescent="0.2">
      <c r="B187" s="397" t="s">
        <v>7</v>
      </c>
      <c r="C187" s="395" t="s">
        <v>20</v>
      </c>
      <c r="D187" s="395" t="s">
        <v>20</v>
      </c>
      <c r="E187" s="395" t="s">
        <v>20</v>
      </c>
      <c r="F187" s="395" t="s">
        <v>17</v>
      </c>
      <c r="G187" s="395" t="s">
        <v>14</v>
      </c>
      <c r="H187" s="395" t="s">
        <v>31</v>
      </c>
      <c r="I187" s="395"/>
      <c r="J187" s="405"/>
      <c r="K187" s="397"/>
      <c r="L187" s="404" t="s">
        <v>116</v>
      </c>
      <c r="M187" s="133"/>
      <c r="N187" s="133"/>
      <c r="O187" s="156"/>
      <c r="P187" s="156"/>
      <c r="Q187" s="434">
        <v>35000000</v>
      </c>
      <c r="R187" s="5">
        <f>SUM(R188:R188)</f>
        <v>60000000</v>
      </c>
      <c r="S187" s="181"/>
      <c r="T187" s="396"/>
      <c r="U187" s="245"/>
      <c r="V187" s="497">
        <f>SUM(V188:V188)</f>
        <v>0</v>
      </c>
      <c r="W187" s="497">
        <f>SUM(W188:W188)</f>
        <v>0</v>
      </c>
      <c r="X187" s="498">
        <f>SUM(X188:X188)</f>
        <v>0</v>
      </c>
      <c r="Y187" s="498">
        <f>SUM(Y188:Y188)</f>
        <v>0</v>
      </c>
      <c r="Z187" s="498">
        <f>SUM(Z188:Z188)</f>
        <v>0</v>
      </c>
      <c r="AA187" s="498">
        <f t="shared" ref="AA187:AG187" si="125">SUM(AA188:AA188)</f>
        <v>0</v>
      </c>
      <c r="AB187" s="498">
        <f t="shared" si="125"/>
        <v>0</v>
      </c>
      <c r="AC187" s="498">
        <f t="shared" si="125"/>
        <v>0</v>
      </c>
      <c r="AD187" s="498">
        <f t="shared" si="125"/>
        <v>0</v>
      </c>
      <c r="AE187" s="498">
        <f t="shared" si="125"/>
        <v>0</v>
      </c>
      <c r="AF187" s="498">
        <f t="shared" si="125"/>
        <v>60000000</v>
      </c>
      <c r="AG187" s="498">
        <f t="shared" si="125"/>
        <v>0</v>
      </c>
      <c r="AH187" s="501">
        <f t="shared" ref="AH187:AH251" si="126">SUM(V187:AG187)</f>
        <v>60000000</v>
      </c>
      <c r="AI187" s="535"/>
      <c r="AJ187" s="535"/>
      <c r="AK187" s="536"/>
      <c r="AL187" s="536"/>
      <c r="AM187" s="536"/>
      <c r="AQ187" s="440"/>
      <c r="AR187" s="285"/>
      <c r="AS187" s="285"/>
      <c r="AT187" s="285"/>
      <c r="AU187" s="285"/>
      <c r="AV187" s="285"/>
      <c r="AW187" s="285"/>
      <c r="AX187" s="285"/>
      <c r="AY187" s="285"/>
      <c r="AZ187" s="285"/>
      <c r="BA187" s="285"/>
      <c r="BB187" s="285"/>
      <c r="BC187" s="285"/>
      <c r="BD187" s="285"/>
      <c r="BE187" s="285"/>
      <c r="BF187" s="285"/>
      <c r="BG187" s="285"/>
      <c r="BH187" s="285"/>
      <c r="BI187" s="285"/>
      <c r="BJ187" s="285"/>
      <c r="BK187" s="285"/>
      <c r="BL187" s="285"/>
      <c r="BM187" s="285"/>
      <c r="BN187" s="285"/>
      <c r="BO187" s="285"/>
      <c r="BP187" s="285"/>
      <c r="BQ187" s="285"/>
      <c r="BR187" s="285"/>
      <c r="BS187" s="285"/>
      <c r="BT187" s="285"/>
      <c r="BU187" s="285"/>
      <c r="BV187" s="285"/>
    </row>
    <row r="188" spans="2:74" ht="45" x14ac:dyDescent="0.2">
      <c r="B188" s="677"/>
      <c r="C188" s="678"/>
      <c r="D188" s="678"/>
      <c r="E188" s="678"/>
      <c r="F188" s="678"/>
      <c r="G188" s="678"/>
      <c r="H188" s="678"/>
      <c r="I188" s="678"/>
      <c r="J188" s="678"/>
      <c r="K188" s="398">
        <v>93141500</v>
      </c>
      <c r="L188" s="400" t="s">
        <v>192</v>
      </c>
      <c r="M188" s="134">
        <v>44498</v>
      </c>
      <c r="N188" s="134" t="s">
        <v>580</v>
      </c>
      <c r="O188" s="157" t="s">
        <v>294</v>
      </c>
      <c r="P188" s="157" t="s">
        <v>374</v>
      </c>
      <c r="Q188" s="434"/>
      <c r="R188" s="564">
        <f>30000000+30000000</f>
        <v>60000000</v>
      </c>
      <c r="S188" s="402" t="s">
        <v>386</v>
      </c>
      <c r="T188" s="399"/>
      <c r="U188" s="253" t="s">
        <v>194</v>
      </c>
      <c r="V188" s="497"/>
      <c r="W188" s="497"/>
      <c r="X188" s="498"/>
      <c r="Y188" s="498"/>
      <c r="Z188" s="498"/>
      <c r="AA188" s="498"/>
      <c r="AB188" s="498"/>
      <c r="AC188" s="498"/>
      <c r="AD188" s="498"/>
      <c r="AE188" s="498"/>
      <c r="AF188" s="498">
        <v>60000000</v>
      </c>
      <c r="AG188" s="498"/>
      <c r="AH188" s="501">
        <f t="shared" si="126"/>
        <v>60000000</v>
      </c>
      <c r="AI188" s="535">
        <v>91121</v>
      </c>
      <c r="AJ188" s="538">
        <v>44511</v>
      </c>
      <c r="AK188" s="536">
        <v>30000000</v>
      </c>
      <c r="AL188" s="536">
        <v>30000000</v>
      </c>
      <c r="AM188" s="536">
        <v>30000000</v>
      </c>
      <c r="AN188" s="532">
        <v>30000000</v>
      </c>
      <c r="AO188" s="532">
        <f>+AL188-AM188</f>
        <v>0</v>
      </c>
      <c r="AP188" s="533">
        <f>R188-AL188+AO188</f>
        <v>30000000</v>
      </c>
      <c r="AQ188" s="440"/>
      <c r="AR188" s="285"/>
      <c r="AS188" s="285"/>
      <c r="AT188" s="285"/>
      <c r="AU188" s="285"/>
      <c r="AV188" s="285"/>
      <c r="AW188" s="285"/>
      <c r="AX188" s="285"/>
      <c r="AY188" s="285"/>
      <c r="AZ188" s="285"/>
      <c r="BA188" s="285"/>
      <c r="BB188" s="285"/>
      <c r="BC188" s="285"/>
      <c r="BD188" s="285"/>
      <c r="BE188" s="285"/>
      <c r="BF188" s="285"/>
      <c r="BG188" s="285"/>
      <c r="BH188" s="285"/>
      <c r="BI188" s="285"/>
      <c r="BJ188" s="285"/>
      <c r="BK188" s="285"/>
      <c r="BL188" s="285"/>
      <c r="BM188" s="285"/>
      <c r="BN188" s="285"/>
      <c r="BO188" s="285"/>
      <c r="BP188" s="285"/>
      <c r="BQ188" s="285"/>
      <c r="BR188" s="285"/>
      <c r="BS188" s="285"/>
      <c r="BT188" s="285"/>
      <c r="BU188" s="285"/>
      <c r="BV188" s="285"/>
    </row>
    <row r="189" spans="2:74" ht="15" customHeight="1" x14ac:dyDescent="0.2">
      <c r="B189" s="13" t="s">
        <v>7</v>
      </c>
      <c r="C189" s="14" t="s">
        <v>20</v>
      </c>
      <c r="D189" s="14" t="s">
        <v>20</v>
      </c>
      <c r="E189" s="14" t="s">
        <v>20</v>
      </c>
      <c r="F189" s="14" t="s">
        <v>18</v>
      </c>
      <c r="G189" s="14"/>
      <c r="H189" s="14"/>
      <c r="I189" s="14"/>
      <c r="J189" s="195"/>
      <c r="K189" s="13"/>
      <c r="L189" s="411" t="s">
        <v>19</v>
      </c>
      <c r="M189" s="131"/>
      <c r="N189" s="131"/>
      <c r="O189" s="154"/>
      <c r="P189" s="154"/>
      <c r="Q189" s="434">
        <v>30000000</v>
      </c>
      <c r="R189" s="16">
        <f>SUM(R190)</f>
        <v>55000000</v>
      </c>
      <c r="S189" s="14"/>
      <c r="T189" s="17"/>
      <c r="U189" s="252"/>
      <c r="V189" s="497">
        <f>SUM(V190)</f>
        <v>0</v>
      </c>
      <c r="W189" s="497">
        <f>SUM(W190)</f>
        <v>0</v>
      </c>
      <c r="X189" s="498">
        <f>SUM(X190)</f>
        <v>3000000</v>
      </c>
      <c r="Y189" s="498">
        <f>SUM(Y190)</f>
        <v>3000000</v>
      </c>
      <c r="Z189" s="498">
        <f>SUM(Z190)</f>
        <v>3000000</v>
      </c>
      <c r="AA189" s="498">
        <f t="shared" ref="AA189:AG189" si="127">SUM(AA190)</f>
        <v>3000000</v>
      </c>
      <c r="AB189" s="498">
        <f t="shared" si="127"/>
        <v>3000000</v>
      </c>
      <c r="AC189" s="498">
        <f t="shared" si="127"/>
        <v>3000000</v>
      </c>
      <c r="AD189" s="498">
        <f t="shared" si="127"/>
        <v>3000000</v>
      </c>
      <c r="AE189" s="498">
        <f t="shared" si="127"/>
        <v>3000000</v>
      </c>
      <c r="AF189" s="498">
        <f t="shared" si="127"/>
        <v>3000000</v>
      </c>
      <c r="AG189" s="498">
        <f t="shared" si="127"/>
        <v>3000000</v>
      </c>
      <c r="AH189" s="501">
        <f t="shared" si="126"/>
        <v>30000000</v>
      </c>
      <c r="AI189" s="535"/>
      <c r="AJ189" s="535"/>
      <c r="AK189" s="536"/>
      <c r="AL189" s="536"/>
      <c r="AM189" s="536"/>
      <c r="AQ189" s="440"/>
      <c r="AR189" s="285"/>
      <c r="AS189" s="285"/>
      <c r="AT189" s="285"/>
      <c r="AU189" s="285"/>
      <c r="AV189" s="285"/>
      <c r="AW189" s="285"/>
      <c r="AX189" s="285"/>
      <c r="AY189" s="285"/>
      <c r="AZ189" s="285"/>
      <c r="BA189" s="285"/>
      <c r="BB189" s="285"/>
      <c r="BC189" s="285"/>
      <c r="BD189" s="285"/>
      <c r="BE189" s="285"/>
      <c r="BF189" s="285"/>
      <c r="BG189" s="285"/>
      <c r="BH189" s="285"/>
      <c r="BI189" s="285"/>
      <c r="BJ189" s="285"/>
      <c r="BK189" s="285"/>
      <c r="BL189" s="285"/>
      <c r="BM189" s="285"/>
      <c r="BN189" s="285"/>
      <c r="BO189" s="285"/>
      <c r="BP189" s="285"/>
      <c r="BQ189" s="285"/>
      <c r="BR189" s="285"/>
      <c r="BS189" s="285"/>
      <c r="BT189" s="285"/>
      <c r="BU189" s="285"/>
      <c r="BV189" s="285"/>
    </row>
    <row r="190" spans="2:74" ht="39" customHeight="1" x14ac:dyDescent="0.2">
      <c r="B190" s="679"/>
      <c r="C190" s="680"/>
      <c r="D190" s="680"/>
      <c r="E190" s="680"/>
      <c r="F190" s="680"/>
      <c r="G190" s="680"/>
      <c r="H190" s="680"/>
      <c r="I190" s="680"/>
      <c r="J190" s="680"/>
      <c r="K190" s="398"/>
      <c r="L190" s="400" t="s">
        <v>19</v>
      </c>
      <c r="M190" s="134"/>
      <c r="N190" s="134"/>
      <c r="O190" s="157"/>
      <c r="P190" s="157"/>
      <c r="Q190" s="434"/>
      <c r="R190" s="564">
        <f>30000000+10000000+15000000</f>
        <v>55000000</v>
      </c>
      <c r="S190" s="453" t="s">
        <v>386</v>
      </c>
      <c r="T190" s="399"/>
      <c r="U190" s="253" t="s">
        <v>194</v>
      </c>
      <c r="V190" s="497"/>
      <c r="W190" s="497"/>
      <c r="X190" s="498">
        <v>3000000</v>
      </c>
      <c r="Y190" s="498">
        <v>3000000</v>
      </c>
      <c r="Z190" s="498">
        <v>3000000</v>
      </c>
      <c r="AA190" s="498">
        <v>3000000</v>
      </c>
      <c r="AB190" s="498">
        <v>3000000</v>
      </c>
      <c r="AC190" s="498">
        <v>3000000</v>
      </c>
      <c r="AD190" s="498">
        <v>3000000</v>
      </c>
      <c r="AE190" s="498">
        <v>3000000</v>
      </c>
      <c r="AF190" s="498">
        <v>3000000</v>
      </c>
      <c r="AG190" s="498">
        <v>3000000</v>
      </c>
      <c r="AH190" s="501">
        <v>40000000</v>
      </c>
      <c r="AI190" s="535">
        <v>11121</v>
      </c>
      <c r="AJ190" s="538">
        <v>44229</v>
      </c>
      <c r="AK190" s="536">
        <v>30000000</v>
      </c>
      <c r="AL190" s="536">
        <v>47371531</v>
      </c>
      <c r="AM190" s="536">
        <v>47371531</v>
      </c>
      <c r="AN190" s="532">
        <f>+R190-AL190</f>
        <v>7628469</v>
      </c>
      <c r="AO190" s="532">
        <f>+AL190-AM190</f>
        <v>0</v>
      </c>
      <c r="AP190" s="533">
        <f>R190-AL190+AO190</f>
        <v>7628469</v>
      </c>
      <c r="AQ190" s="440"/>
      <c r="AR190" s="285"/>
      <c r="AS190" s="285"/>
      <c r="AT190" s="285"/>
      <c r="AU190" s="285"/>
      <c r="AV190" s="285"/>
      <c r="AW190" s="285"/>
      <c r="AX190" s="285"/>
      <c r="AY190" s="285"/>
      <c r="AZ190" s="285"/>
      <c r="BA190" s="285"/>
      <c r="BB190" s="285"/>
      <c r="BC190" s="285"/>
      <c r="BD190" s="285"/>
      <c r="BE190" s="285"/>
      <c r="BF190" s="285"/>
      <c r="BG190" s="285"/>
      <c r="BH190" s="285"/>
      <c r="BI190" s="285"/>
      <c r="BJ190" s="285"/>
      <c r="BK190" s="285"/>
      <c r="BL190" s="285"/>
      <c r="BM190" s="285"/>
      <c r="BN190" s="285"/>
      <c r="BO190" s="285"/>
      <c r="BP190" s="285"/>
      <c r="BQ190" s="285"/>
      <c r="BR190" s="285"/>
      <c r="BS190" s="285"/>
      <c r="BT190" s="285"/>
      <c r="BU190" s="285"/>
      <c r="BV190" s="285"/>
    </row>
    <row r="191" spans="2:74" ht="15.75" customHeight="1" x14ac:dyDescent="0.2">
      <c r="B191" s="46" t="s">
        <v>7</v>
      </c>
      <c r="C191" s="47" t="s">
        <v>27</v>
      </c>
      <c r="D191" s="47"/>
      <c r="E191" s="47"/>
      <c r="F191" s="47"/>
      <c r="G191" s="47"/>
      <c r="H191" s="47"/>
      <c r="I191" s="47"/>
      <c r="J191" s="199"/>
      <c r="K191" s="46"/>
      <c r="L191" s="414" t="s">
        <v>120</v>
      </c>
      <c r="M191" s="138"/>
      <c r="N191" s="138"/>
      <c r="O191" s="161"/>
      <c r="P191" s="161"/>
      <c r="Q191" s="433">
        <f>+Q192</f>
        <v>9517000000</v>
      </c>
      <c r="R191" s="49">
        <f>+R192</f>
        <v>9517000000</v>
      </c>
      <c r="S191" s="228"/>
      <c r="T191" s="469"/>
      <c r="U191" s="258"/>
      <c r="V191" s="495">
        <f>+V192</f>
        <v>133183696</v>
      </c>
      <c r="W191" s="495">
        <f>+W192</f>
        <v>470284047.30434781</v>
      </c>
      <c r="X191" s="496">
        <f>+X192</f>
        <v>628017391.30434787</v>
      </c>
      <c r="Y191" s="496">
        <f>+Y192</f>
        <v>342292391.30434781</v>
      </c>
      <c r="Z191" s="496">
        <f>+Z192</f>
        <v>590617391.30434787</v>
      </c>
      <c r="AA191" s="496">
        <f t="shared" ref="AA191:AG191" si="128">+AA192</f>
        <v>217717391.30434781</v>
      </c>
      <c r="AB191" s="496">
        <f t="shared" si="128"/>
        <v>1210655724.6376812</v>
      </c>
      <c r="AC191" s="496">
        <f t="shared" si="128"/>
        <v>302884057.9710145</v>
      </c>
      <c r="AD191" s="496">
        <f t="shared" si="128"/>
        <v>1434625724.6376812</v>
      </c>
      <c r="AE191" s="496">
        <f t="shared" si="128"/>
        <v>1240359057.9710145</v>
      </c>
      <c r="AF191" s="496">
        <f t="shared" si="128"/>
        <v>1545555724.6376812</v>
      </c>
      <c r="AG191" s="496">
        <f t="shared" si="128"/>
        <v>1610404057.9710145</v>
      </c>
      <c r="AH191" s="500">
        <f t="shared" si="126"/>
        <v>9726596656.347826</v>
      </c>
      <c r="AI191" s="535"/>
      <c r="AJ191" s="535"/>
      <c r="AK191" s="536"/>
      <c r="AL191" s="536"/>
      <c r="AM191" s="536"/>
      <c r="AQ191" s="440"/>
      <c r="AR191" s="285"/>
      <c r="AS191" s="285"/>
      <c r="AT191" s="285"/>
      <c r="AU191" s="285"/>
      <c r="AV191" s="285"/>
      <c r="AW191" s="285"/>
      <c r="AX191" s="285"/>
      <c r="AY191" s="285"/>
      <c r="AZ191" s="285"/>
      <c r="BA191" s="285"/>
      <c r="BB191" s="285"/>
      <c r="BC191" s="285"/>
      <c r="BD191" s="285"/>
      <c r="BE191" s="285"/>
      <c r="BF191" s="285"/>
      <c r="BG191" s="285"/>
      <c r="BH191" s="285"/>
      <c r="BI191" s="285"/>
      <c r="BJ191" s="285"/>
      <c r="BK191" s="285"/>
      <c r="BL191" s="285"/>
      <c r="BM191" s="285"/>
      <c r="BN191" s="285"/>
      <c r="BO191" s="285"/>
      <c r="BP191" s="285"/>
      <c r="BQ191" s="285"/>
      <c r="BR191" s="285"/>
      <c r="BS191" s="285"/>
      <c r="BT191" s="285"/>
      <c r="BU191" s="285"/>
      <c r="BV191" s="285"/>
    </row>
    <row r="192" spans="2:74" ht="15.75" customHeight="1" x14ac:dyDescent="0.25">
      <c r="B192" s="51" t="s">
        <v>7</v>
      </c>
      <c r="C192" s="52" t="s">
        <v>27</v>
      </c>
      <c r="D192" s="52" t="s">
        <v>8</v>
      </c>
      <c r="E192" s="52"/>
      <c r="F192" s="52"/>
      <c r="G192" s="52"/>
      <c r="H192" s="52"/>
      <c r="I192" s="52"/>
      <c r="J192" s="200"/>
      <c r="K192" s="51"/>
      <c r="L192" s="415" t="s">
        <v>120</v>
      </c>
      <c r="M192" s="139"/>
      <c r="N192" s="139"/>
      <c r="O192" s="162"/>
      <c r="P192" s="162"/>
      <c r="Q192" s="433">
        <f>+Q216+Q193</f>
        <v>9517000000</v>
      </c>
      <c r="R192" s="54">
        <f>+R216+R193</f>
        <v>9517000000</v>
      </c>
      <c r="S192" s="190"/>
      <c r="T192" s="427"/>
      <c r="U192" s="259"/>
      <c r="V192" s="495">
        <f t="shared" ref="V192:AG192" si="129">+V216+V193</f>
        <v>133183696</v>
      </c>
      <c r="W192" s="495">
        <f t="shared" si="129"/>
        <v>470284047.30434781</v>
      </c>
      <c r="X192" s="496">
        <f t="shared" si="129"/>
        <v>628017391.30434787</v>
      </c>
      <c r="Y192" s="496">
        <f t="shared" si="129"/>
        <v>342292391.30434781</v>
      </c>
      <c r="Z192" s="496">
        <f t="shared" si="129"/>
        <v>590617391.30434787</v>
      </c>
      <c r="AA192" s="496">
        <f t="shared" si="129"/>
        <v>217717391.30434781</v>
      </c>
      <c r="AB192" s="496">
        <f t="shared" si="129"/>
        <v>1210655724.6376812</v>
      </c>
      <c r="AC192" s="496">
        <f t="shared" si="129"/>
        <v>302884057.9710145</v>
      </c>
      <c r="AD192" s="496">
        <f t="shared" si="129"/>
        <v>1434625724.6376812</v>
      </c>
      <c r="AE192" s="496">
        <f t="shared" si="129"/>
        <v>1240359057.9710145</v>
      </c>
      <c r="AF192" s="496">
        <f t="shared" si="129"/>
        <v>1545555724.6376812</v>
      </c>
      <c r="AG192" s="496">
        <f t="shared" si="129"/>
        <v>1610404057.9710145</v>
      </c>
      <c r="AH192" s="500">
        <f t="shared" si="126"/>
        <v>9726596656.347826</v>
      </c>
      <c r="AI192" s="535"/>
      <c r="AJ192" s="535"/>
      <c r="AK192" s="536"/>
      <c r="AL192" s="536"/>
      <c r="AM192" s="536"/>
      <c r="AQ192" s="440"/>
      <c r="AR192" s="285"/>
      <c r="AS192" s="285"/>
      <c r="AT192" s="285"/>
      <c r="AU192" s="285"/>
      <c r="AV192" s="285"/>
      <c r="AW192" s="285"/>
      <c r="AX192" s="285"/>
      <c r="AY192" s="285"/>
      <c r="AZ192" s="285"/>
      <c r="BA192" s="285"/>
      <c r="BB192" s="285"/>
      <c r="BC192" s="285"/>
      <c r="BD192" s="285"/>
      <c r="BE192" s="285"/>
      <c r="BF192" s="285"/>
      <c r="BG192" s="285"/>
      <c r="BH192" s="285"/>
      <c r="BI192" s="285"/>
      <c r="BJ192" s="285"/>
      <c r="BK192" s="285"/>
      <c r="BL192" s="285"/>
      <c r="BM192" s="285"/>
      <c r="BN192" s="285"/>
      <c r="BO192" s="285"/>
      <c r="BP192" s="285"/>
      <c r="BQ192" s="285"/>
      <c r="BR192" s="285"/>
      <c r="BS192" s="285"/>
      <c r="BT192" s="285"/>
      <c r="BU192" s="285"/>
      <c r="BV192" s="285"/>
    </row>
    <row r="193" spans="2:74" ht="15" customHeight="1" x14ac:dyDescent="0.25">
      <c r="B193" s="21" t="s">
        <v>7</v>
      </c>
      <c r="C193" s="22" t="s">
        <v>27</v>
      </c>
      <c r="D193" s="22" t="s">
        <v>8</v>
      </c>
      <c r="E193" s="22" t="s">
        <v>8</v>
      </c>
      <c r="F193" s="22"/>
      <c r="G193" s="22"/>
      <c r="H193" s="22"/>
      <c r="I193" s="22"/>
      <c r="J193" s="201"/>
      <c r="K193" s="21"/>
      <c r="L193" s="472" t="s">
        <v>50</v>
      </c>
      <c r="M193" s="473"/>
      <c r="N193" s="473"/>
      <c r="O193" s="474"/>
      <c r="P193" s="474"/>
      <c r="Q193" s="433">
        <f>+Q194+Q198</f>
        <v>431000000</v>
      </c>
      <c r="R193" s="475">
        <f>+R194+R198</f>
        <v>431000000</v>
      </c>
      <c r="S193" s="476"/>
      <c r="T193" s="477"/>
      <c r="U193" s="478">
        <f>+Q193-R193</f>
        <v>0</v>
      </c>
      <c r="V193" s="495">
        <f>+V194+V198</f>
        <v>0</v>
      </c>
      <c r="W193" s="495">
        <f t="shared" ref="W193:AG193" si="130">+W194+W198</f>
        <v>0</v>
      </c>
      <c r="X193" s="495">
        <f t="shared" si="130"/>
        <v>0</v>
      </c>
      <c r="Y193" s="495">
        <f t="shared" si="130"/>
        <v>105875000</v>
      </c>
      <c r="Z193" s="495">
        <f t="shared" si="130"/>
        <v>0</v>
      </c>
      <c r="AA193" s="495">
        <f t="shared" si="130"/>
        <v>0</v>
      </c>
      <c r="AB193" s="495">
        <f t="shared" si="130"/>
        <v>120705000</v>
      </c>
      <c r="AC193" s="495">
        <f t="shared" si="130"/>
        <v>8500000</v>
      </c>
      <c r="AD193" s="495">
        <f t="shared" si="130"/>
        <v>8500000</v>
      </c>
      <c r="AE193" s="495">
        <f t="shared" si="130"/>
        <v>95875000</v>
      </c>
      <c r="AF193" s="495">
        <f t="shared" si="130"/>
        <v>0</v>
      </c>
      <c r="AG193" s="495">
        <f t="shared" si="130"/>
        <v>91545000</v>
      </c>
      <c r="AH193" s="500">
        <f t="shared" si="126"/>
        <v>431000000</v>
      </c>
      <c r="AI193" s="535"/>
      <c r="AJ193" s="535"/>
      <c r="AK193" s="536"/>
      <c r="AL193" s="536"/>
      <c r="AM193" s="536"/>
      <c r="AQ193" s="440"/>
      <c r="AR193" s="285"/>
      <c r="AS193" s="285"/>
      <c r="AT193" s="285"/>
      <c r="AU193" s="285"/>
      <c r="AV193" s="285"/>
      <c r="AW193" s="285"/>
      <c r="AX193" s="285"/>
      <c r="AY193" s="285"/>
      <c r="AZ193" s="285"/>
      <c r="BA193" s="285"/>
      <c r="BB193" s="285"/>
      <c r="BC193" s="285"/>
      <c r="BD193" s="285"/>
      <c r="BE193" s="285"/>
      <c r="BF193" s="285"/>
      <c r="BG193" s="285"/>
      <c r="BH193" s="285"/>
      <c r="BI193" s="285"/>
      <c r="BJ193" s="285"/>
      <c r="BK193" s="285"/>
      <c r="BL193" s="285"/>
      <c r="BM193" s="285"/>
      <c r="BN193" s="285"/>
      <c r="BO193" s="285"/>
      <c r="BP193" s="285"/>
      <c r="BQ193" s="285"/>
      <c r="BR193" s="285"/>
      <c r="BS193" s="285"/>
      <c r="BT193" s="285"/>
      <c r="BU193" s="285"/>
      <c r="BV193" s="285"/>
    </row>
    <row r="194" spans="2:74" ht="63.75" customHeight="1" x14ac:dyDescent="0.2">
      <c r="B194" s="13" t="s">
        <v>7</v>
      </c>
      <c r="C194" s="14" t="s">
        <v>27</v>
      </c>
      <c r="D194" s="14" t="s">
        <v>8</v>
      </c>
      <c r="E194" s="14" t="s">
        <v>8</v>
      </c>
      <c r="F194" s="14" t="s">
        <v>155</v>
      </c>
      <c r="G194" s="14"/>
      <c r="H194" s="14"/>
      <c r="I194" s="14"/>
      <c r="J194" s="195"/>
      <c r="K194" s="13"/>
      <c r="L194" s="411" t="s">
        <v>156</v>
      </c>
      <c r="M194" s="131"/>
      <c r="N194" s="131"/>
      <c r="O194" s="154"/>
      <c r="P194" s="154"/>
      <c r="Q194" s="434">
        <f>+Q195</f>
        <v>17000000</v>
      </c>
      <c r="R194" s="16">
        <f>+R195</f>
        <v>17000000</v>
      </c>
      <c r="S194" s="14"/>
      <c r="T194" s="17"/>
      <c r="U194" s="252"/>
      <c r="V194" s="497">
        <f t="shared" ref="V194:Z195" si="131">+V195</f>
        <v>0</v>
      </c>
      <c r="W194" s="497">
        <f t="shared" si="131"/>
        <v>0</v>
      </c>
      <c r="X194" s="498">
        <f t="shared" si="131"/>
        <v>0</v>
      </c>
      <c r="Y194" s="498">
        <f t="shared" si="131"/>
        <v>0</v>
      </c>
      <c r="Z194" s="498">
        <f t="shared" si="131"/>
        <v>0</v>
      </c>
      <c r="AA194" s="498">
        <f t="shared" ref="AA194:AG195" si="132">+AA195</f>
        <v>0</v>
      </c>
      <c r="AB194" s="498">
        <f t="shared" si="132"/>
        <v>0</v>
      </c>
      <c r="AC194" s="498">
        <f t="shared" si="132"/>
        <v>8500000</v>
      </c>
      <c r="AD194" s="498">
        <f t="shared" si="132"/>
        <v>8500000</v>
      </c>
      <c r="AE194" s="498">
        <f t="shared" si="132"/>
        <v>0</v>
      </c>
      <c r="AF194" s="498">
        <f t="shared" si="132"/>
        <v>0</v>
      </c>
      <c r="AG194" s="498">
        <f t="shared" si="132"/>
        <v>0</v>
      </c>
      <c r="AH194" s="501">
        <f t="shared" si="126"/>
        <v>17000000</v>
      </c>
      <c r="AI194" s="535"/>
      <c r="AJ194" s="535"/>
      <c r="AK194" s="536"/>
      <c r="AL194" s="536"/>
      <c r="AM194" s="536"/>
      <c r="AQ194" s="440"/>
      <c r="AR194" s="285"/>
      <c r="AS194" s="285"/>
      <c r="AT194" s="285"/>
      <c r="AU194" s="285"/>
      <c r="AV194" s="285"/>
      <c r="AW194" s="285"/>
      <c r="AX194" s="285"/>
      <c r="AY194" s="285"/>
      <c r="AZ194" s="285"/>
      <c r="BA194" s="285"/>
      <c r="BB194" s="285"/>
      <c r="BC194" s="285"/>
      <c r="BD194" s="285"/>
      <c r="BE194" s="285"/>
      <c r="BF194" s="285"/>
      <c r="BG194" s="285"/>
      <c r="BH194" s="285"/>
      <c r="BI194" s="285"/>
      <c r="BJ194" s="285"/>
      <c r="BK194" s="285"/>
      <c r="BL194" s="285"/>
      <c r="BM194" s="285"/>
      <c r="BN194" s="285"/>
      <c r="BO194" s="285"/>
      <c r="BP194" s="285"/>
      <c r="BQ194" s="285"/>
      <c r="BR194" s="285"/>
      <c r="BS194" s="285"/>
      <c r="BT194" s="285"/>
      <c r="BU194" s="285"/>
      <c r="BV194" s="285"/>
    </row>
    <row r="195" spans="2:74" ht="15" customHeight="1" x14ac:dyDescent="0.2">
      <c r="B195" s="31" t="s">
        <v>7</v>
      </c>
      <c r="C195" s="32" t="s">
        <v>27</v>
      </c>
      <c r="D195" s="32" t="s">
        <v>8</v>
      </c>
      <c r="E195" s="32" t="s">
        <v>8</v>
      </c>
      <c r="F195" s="32" t="s">
        <v>155</v>
      </c>
      <c r="G195" s="32" t="s">
        <v>9</v>
      </c>
      <c r="H195" s="32"/>
      <c r="I195" s="32"/>
      <c r="J195" s="202"/>
      <c r="K195" s="31"/>
      <c r="L195" s="416" t="s">
        <v>157</v>
      </c>
      <c r="M195" s="141"/>
      <c r="N195" s="141"/>
      <c r="O195" s="164"/>
      <c r="P195" s="164"/>
      <c r="Q195" s="434">
        <f>+Q196</f>
        <v>17000000</v>
      </c>
      <c r="R195" s="34">
        <f>+R196</f>
        <v>17000000</v>
      </c>
      <c r="S195" s="32"/>
      <c r="T195" s="35"/>
      <c r="U195" s="261"/>
      <c r="V195" s="497">
        <f t="shared" si="131"/>
        <v>0</v>
      </c>
      <c r="W195" s="497">
        <f t="shared" si="131"/>
        <v>0</v>
      </c>
      <c r="X195" s="498">
        <f t="shared" si="131"/>
        <v>0</v>
      </c>
      <c r="Y195" s="498">
        <f t="shared" si="131"/>
        <v>0</v>
      </c>
      <c r="Z195" s="498">
        <f t="shared" si="131"/>
        <v>0</v>
      </c>
      <c r="AA195" s="498">
        <f t="shared" si="132"/>
        <v>0</v>
      </c>
      <c r="AB195" s="498">
        <f t="shared" si="132"/>
        <v>0</v>
      </c>
      <c r="AC195" s="498">
        <f t="shared" si="132"/>
        <v>8500000</v>
      </c>
      <c r="AD195" s="498">
        <f t="shared" si="132"/>
        <v>8500000</v>
      </c>
      <c r="AE195" s="498">
        <f t="shared" si="132"/>
        <v>0</v>
      </c>
      <c r="AF195" s="498">
        <f t="shared" si="132"/>
        <v>0</v>
      </c>
      <c r="AG195" s="498">
        <f t="shared" si="132"/>
        <v>0</v>
      </c>
      <c r="AH195" s="501">
        <f t="shared" si="126"/>
        <v>17000000</v>
      </c>
      <c r="AI195" s="535"/>
      <c r="AJ195" s="535"/>
      <c r="AK195" s="536"/>
      <c r="AL195" s="536"/>
      <c r="AM195" s="536"/>
      <c r="AQ195" s="440"/>
      <c r="AR195" s="285"/>
      <c r="AS195" s="285"/>
      <c r="AT195" s="285"/>
      <c r="AU195" s="285"/>
      <c r="AV195" s="285"/>
      <c r="AW195" s="285"/>
      <c r="AX195" s="285"/>
      <c r="AY195" s="285"/>
      <c r="AZ195" s="285"/>
      <c r="BA195" s="285"/>
      <c r="BB195" s="285"/>
      <c r="BC195" s="285"/>
      <c r="BD195" s="285"/>
      <c r="BE195" s="285"/>
      <c r="BF195" s="285"/>
      <c r="BG195" s="285"/>
      <c r="BH195" s="285"/>
      <c r="BI195" s="285"/>
      <c r="BJ195" s="285"/>
      <c r="BK195" s="285"/>
      <c r="BL195" s="285"/>
      <c r="BM195" s="285"/>
      <c r="BN195" s="285"/>
      <c r="BO195" s="285"/>
      <c r="BP195" s="285"/>
      <c r="BQ195" s="285"/>
      <c r="BR195" s="285"/>
      <c r="BS195" s="285"/>
      <c r="BT195" s="285"/>
      <c r="BU195" s="285"/>
      <c r="BV195" s="285"/>
    </row>
    <row r="196" spans="2:74" ht="30" customHeight="1" x14ac:dyDescent="0.2">
      <c r="B196" s="397" t="s">
        <v>7</v>
      </c>
      <c r="C196" s="395" t="s">
        <v>27</v>
      </c>
      <c r="D196" s="395" t="s">
        <v>8</v>
      </c>
      <c r="E196" s="395" t="s">
        <v>8</v>
      </c>
      <c r="F196" s="395" t="s">
        <v>155</v>
      </c>
      <c r="G196" s="395" t="s">
        <v>9</v>
      </c>
      <c r="H196" s="395" t="s">
        <v>31</v>
      </c>
      <c r="I196" s="395"/>
      <c r="J196" s="405"/>
      <c r="K196" s="397"/>
      <c r="L196" s="404" t="s">
        <v>158</v>
      </c>
      <c r="M196" s="133"/>
      <c r="N196" s="133"/>
      <c r="O196" s="156"/>
      <c r="P196" s="156"/>
      <c r="Q196" s="434">
        <v>17000000</v>
      </c>
      <c r="R196" s="5">
        <f>SUM(R197:R197)</f>
        <v>17000000</v>
      </c>
      <c r="S196" s="181"/>
      <c r="T196" s="426"/>
      <c r="U196" s="245"/>
      <c r="V196" s="497">
        <f>SUM(V197:V197)</f>
        <v>0</v>
      </c>
      <c r="W196" s="497">
        <f>SUM(W197:W197)</f>
        <v>0</v>
      </c>
      <c r="X196" s="498">
        <f>SUM(X197:X197)</f>
        <v>0</v>
      </c>
      <c r="Y196" s="498">
        <f>SUM(Y197:Y197)</f>
        <v>0</v>
      </c>
      <c r="Z196" s="498">
        <f>SUM(Z197:Z197)</f>
        <v>0</v>
      </c>
      <c r="AA196" s="498">
        <f t="shared" ref="AA196:AG196" si="133">SUM(AA197:AA197)</f>
        <v>0</v>
      </c>
      <c r="AB196" s="498">
        <f t="shared" si="133"/>
        <v>0</v>
      </c>
      <c r="AC196" s="498">
        <f t="shared" si="133"/>
        <v>8500000</v>
      </c>
      <c r="AD196" s="498">
        <f t="shared" si="133"/>
        <v>8500000</v>
      </c>
      <c r="AE196" s="498">
        <f t="shared" si="133"/>
        <v>0</v>
      </c>
      <c r="AF196" s="498">
        <f t="shared" si="133"/>
        <v>0</v>
      </c>
      <c r="AG196" s="498">
        <f t="shared" si="133"/>
        <v>0</v>
      </c>
      <c r="AH196" s="501">
        <f t="shared" si="126"/>
        <v>17000000</v>
      </c>
      <c r="AI196" s="535"/>
      <c r="AJ196" s="535"/>
      <c r="AK196" s="536"/>
      <c r="AL196" s="536"/>
      <c r="AM196" s="536"/>
      <c r="AQ196" s="440"/>
      <c r="AR196" s="285"/>
      <c r="AS196" s="285"/>
      <c r="AT196" s="285"/>
      <c r="AU196" s="285"/>
      <c r="AV196" s="285"/>
      <c r="AW196" s="285"/>
      <c r="AX196" s="285"/>
      <c r="AY196" s="285"/>
      <c r="AZ196" s="285"/>
      <c r="BA196" s="285"/>
      <c r="BB196" s="285"/>
      <c r="BC196" s="285"/>
      <c r="BD196" s="285"/>
      <c r="BE196" s="285"/>
      <c r="BF196" s="285"/>
      <c r="BG196" s="285"/>
      <c r="BH196" s="285"/>
      <c r="BI196" s="285"/>
      <c r="BJ196" s="285"/>
      <c r="BK196" s="285"/>
      <c r="BL196" s="285"/>
      <c r="BM196" s="285"/>
      <c r="BN196" s="285"/>
      <c r="BO196" s="285"/>
      <c r="BP196" s="285"/>
      <c r="BQ196" s="285"/>
      <c r="BR196" s="285"/>
      <c r="BS196" s="285"/>
      <c r="BT196" s="285"/>
      <c r="BU196" s="285"/>
      <c r="BV196" s="285"/>
    </row>
    <row r="197" spans="2:74" ht="60" customHeight="1" x14ac:dyDescent="0.2">
      <c r="B197" s="677"/>
      <c r="C197" s="678"/>
      <c r="D197" s="678"/>
      <c r="E197" s="678"/>
      <c r="F197" s="678"/>
      <c r="G197" s="678"/>
      <c r="H197" s="678"/>
      <c r="I197" s="678"/>
      <c r="J197" s="678"/>
      <c r="K197" s="177" t="s">
        <v>323</v>
      </c>
      <c r="L197" s="400" t="s">
        <v>514</v>
      </c>
      <c r="M197" s="134">
        <v>44362</v>
      </c>
      <c r="N197" s="134" t="s">
        <v>572</v>
      </c>
      <c r="O197" s="157" t="s">
        <v>331</v>
      </c>
      <c r="P197" s="157" t="s">
        <v>496</v>
      </c>
      <c r="Q197" s="434"/>
      <c r="R197" s="101">
        <v>17000000</v>
      </c>
      <c r="S197" s="402" t="s">
        <v>350</v>
      </c>
      <c r="T197" s="425"/>
      <c r="U197" s="253" t="s">
        <v>221</v>
      </c>
      <c r="V197" s="497"/>
      <c r="W197" s="497"/>
      <c r="X197" s="498"/>
      <c r="Y197" s="498"/>
      <c r="Z197" s="498"/>
      <c r="AA197" s="498"/>
      <c r="AB197" s="498"/>
      <c r="AC197" s="498">
        <v>8500000</v>
      </c>
      <c r="AD197" s="498">
        <v>8500000</v>
      </c>
      <c r="AE197" s="498"/>
      <c r="AF197" s="498"/>
      <c r="AG197" s="498"/>
      <c r="AH197" s="501">
        <f t="shared" si="126"/>
        <v>17000000</v>
      </c>
      <c r="AI197" s="535">
        <v>53221</v>
      </c>
      <c r="AJ197" s="538">
        <v>44376</v>
      </c>
      <c r="AK197" s="536">
        <v>17000000</v>
      </c>
      <c r="AL197" s="536">
        <v>17000000</v>
      </c>
      <c r="AM197" s="536">
        <v>17000000</v>
      </c>
      <c r="AN197" s="532">
        <f>+R197-AL197</f>
        <v>0</v>
      </c>
      <c r="AO197" s="532">
        <f>+AL197-AM197</f>
        <v>0</v>
      </c>
      <c r="AP197" s="532">
        <f>R197-AL197+AO197</f>
        <v>0</v>
      </c>
      <c r="AQ197" s="440"/>
      <c r="AR197" s="285"/>
      <c r="AS197" s="285"/>
      <c r="AT197" s="285"/>
      <c r="AU197" s="285"/>
      <c r="AV197" s="285"/>
      <c r="AW197" s="285"/>
      <c r="AX197" s="285"/>
      <c r="AY197" s="285"/>
      <c r="AZ197" s="285"/>
      <c r="BA197" s="285"/>
      <c r="BB197" s="285"/>
      <c r="BC197" s="285"/>
      <c r="BD197" s="285"/>
      <c r="BE197" s="285"/>
      <c r="BF197" s="285"/>
      <c r="BG197" s="285"/>
      <c r="BH197" s="285"/>
      <c r="BI197" s="285"/>
      <c r="BJ197" s="285"/>
      <c r="BK197" s="285"/>
      <c r="BL197" s="285"/>
      <c r="BM197" s="285"/>
      <c r="BN197" s="285"/>
      <c r="BO197" s="285"/>
      <c r="BP197" s="285"/>
      <c r="BQ197" s="285"/>
      <c r="BR197" s="285"/>
      <c r="BS197" s="285"/>
      <c r="BT197" s="285"/>
      <c r="BU197" s="285"/>
      <c r="BV197" s="285"/>
    </row>
    <row r="198" spans="2:74" ht="30" customHeight="1" x14ac:dyDescent="0.2">
      <c r="B198" s="13" t="s">
        <v>7</v>
      </c>
      <c r="C198" s="14" t="s">
        <v>27</v>
      </c>
      <c r="D198" s="14" t="s">
        <v>8</v>
      </c>
      <c r="E198" s="14" t="s">
        <v>8</v>
      </c>
      <c r="F198" s="14" t="s">
        <v>11</v>
      </c>
      <c r="G198" s="14"/>
      <c r="H198" s="14"/>
      <c r="I198" s="14"/>
      <c r="J198" s="195"/>
      <c r="K198" s="13"/>
      <c r="L198" s="411" t="s">
        <v>57</v>
      </c>
      <c r="M198" s="131"/>
      <c r="N198" s="131"/>
      <c r="O198" s="154"/>
      <c r="P198" s="154"/>
      <c r="Q198" s="434">
        <f>+Q202+Q213+Q199</f>
        <v>414000000</v>
      </c>
      <c r="R198" s="16">
        <f>+R202+R213+R199+R205+R208</f>
        <v>414000000</v>
      </c>
      <c r="S198" s="218"/>
      <c r="T198" s="17"/>
      <c r="U198" s="252"/>
      <c r="V198" s="497">
        <f t="shared" ref="V198:AG198" si="134">+V202+V213+V199+V205</f>
        <v>0</v>
      </c>
      <c r="W198" s="497">
        <f t="shared" si="134"/>
        <v>0</v>
      </c>
      <c r="X198" s="498">
        <f t="shared" si="134"/>
        <v>0</v>
      </c>
      <c r="Y198" s="498">
        <f t="shared" si="134"/>
        <v>105875000</v>
      </c>
      <c r="Z198" s="498">
        <f t="shared" si="134"/>
        <v>0</v>
      </c>
      <c r="AA198" s="498">
        <f t="shared" si="134"/>
        <v>0</v>
      </c>
      <c r="AB198" s="498">
        <f t="shared" si="134"/>
        <v>120705000</v>
      </c>
      <c r="AC198" s="498">
        <f t="shared" si="134"/>
        <v>0</v>
      </c>
      <c r="AD198" s="498">
        <f t="shared" si="134"/>
        <v>0</v>
      </c>
      <c r="AE198" s="498">
        <f t="shared" si="134"/>
        <v>95875000</v>
      </c>
      <c r="AF198" s="498">
        <f t="shared" si="134"/>
        <v>0</v>
      </c>
      <c r="AG198" s="498">
        <f t="shared" si="134"/>
        <v>91545000</v>
      </c>
      <c r="AH198" s="501">
        <f t="shared" si="126"/>
        <v>414000000</v>
      </c>
      <c r="AI198" s="535"/>
      <c r="AJ198" s="535"/>
      <c r="AK198" s="536"/>
      <c r="AL198" s="536"/>
      <c r="AM198" s="536"/>
      <c r="AQ198" s="440"/>
      <c r="AR198" s="285"/>
      <c r="AS198" s="285"/>
      <c r="AT198" s="285"/>
      <c r="AU198" s="285"/>
      <c r="AV198" s="285"/>
      <c r="AW198" s="285"/>
      <c r="AX198" s="285"/>
      <c r="AY198" s="285"/>
      <c r="AZ198" s="285"/>
      <c r="BA198" s="285"/>
      <c r="BB198" s="285"/>
      <c r="BC198" s="285"/>
      <c r="BD198" s="285"/>
      <c r="BE198" s="285"/>
      <c r="BF198" s="285"/>
      <c r="BG198" s="285"/>
      <c r="BH198" s="285"/>
      <c r="BI198" s="285"/>
      <c r="BJ198" s="285"/>
      <c r="BK198" s="285"/>
      <c r="BL198" s="285"/>
      <c r="BM198" s="285"/>
      <c r="BN198" s="285"/>
      <c r="BO198" s="285"/>
      <c r="BP198" s="285"/>
      <c r="BQ198" s="285"/>
      <c r="BR198" s="285"/>
      <c r="BS198" s="285"/>
      <c r="BT198" s="285"/>
      <c r="BU198" s="285"/>
      <c r="BV198" s="285"/>
    </row>
    <row r="199" spans="2:74" ht="30" customHeight="1" x14ac:dyDescent="0.2">
      <c r="B199" s="31" t="s">
        <v>7</v>
      </c>
      <c r="C199" s="32" t="s">
        <v>27</v>
      </c>
      <c r="D199" s="32" t="s">
        <v>8</v>
      </c>
      <c r="E199" s="32" t="s">
        <v>8</v>
      </c>
      <c r="F199" s="32" t="s">
        <v>11</v>
      </c>
      <c r="G199" s="32" t="s">
        <v>10</v>
      </c>
      <c r="H199" s="32"/>
      <c r="I199" s="32"/>
      <c r="J199" s="202"/>
      <c r="K199" s="31"/>
      <c r="L199" s="416" t="s">
        <v>58</v>
      </c>
      <c r="M199" s="141"/>
      <c r="N199" s="141"/>
      <c r="O199" s="164"/>
      <c r="P199" s="164"/>
      <c r="Q199" s="434">
        <f>+Q200</f>
        <v>20000000</v>
      </c>
      <c r="R199" s="34">
        <f>+R200</f>
        <v>8697137.3599999994</v>
      </c>
      <c r="S199" s="32"/>
      <c r="T199" s="35"/>
      <c r="U199" s="261"/>
      <c r="V199" s="497">
        <f>+V200</f>
        <v>0</v>
      </c>
      <c r="W199" s="497">
        <f>+W200</f>
        <v>0</v>
      </c>
      <c r="X199" s="498">
        <f>+X200</f>
        <v>0</v>
      </c>
      <c r="Y199" s="498">
        <f>+Y200</f>
        <v>15000000</v>
      </c>
      <c r="Z199" s="498">
        <f>+Z200</f>
        <v>0</v>
      </c>
      <c r="AA199" s="498">
        <f t="shared" ref="AA199:AG199" si="135">+AA200</f>
        <v>0</v>
      </c>
      <c r="AB199" s="498">
        <f t="shared" si="135"/>
        <v>0</v>
      </c>
      <c r="AC199" s="498">
        <f t="shared" si="135"/>
        <v>0</v>
      </c>
      <c r="AD199" s="498">
        <f t="shared" si="135"/>
        <v>0</v>
      </c>
      <c r="AE199" s="498">
        <f t="shared" si="135"/>
        <v>5000000</v>
      </c>
      <c r="AF199" s="498">
        <f t="shared" si="135"/>
        <v>0</v>
      </c>
      <c r="AG199" s="498">
        <f t="shared" si="135"/>
        <v>0</v>
      </c>
      <c r="AH199" s="501">
        <f t="shared" si="126"/>
        <v>20000000</v>
      </c>
      <c r="AI199" s="535"/>
      <c r="AJ199" s="535"/>
      <c r="AK199" s="536"/>
      <c r="AL199" s="536"/>
      <c r="AM199" s="536"/>
      <c r="AQ199" s="440"/>
      <c r="AR199" s="285"/>
      <c r="AS199" s="285"/>
      <c r="AT199" s="285"/>
      <c r="AU199" s="285"/>
      <c r="AV199" s="285"/>
      <c r="AW199" s="285"/>
      <c r="AX199" s="285"/>
      <c r="AY199" s="285"/>
      <c r="AZ199" s="285"/>
      <c r="BA199" s="285"/>
      <c r="BB199" s="285"/>
      <c r="BC199" s="285"/>
      <c r="BD199" s="285"/>
      <c r="BE199" s="285"/>
      <c r="BF199" s="285"/>
      <c r="BG199" s="285"/>
      <c r="BH199" s="285"/>
      <c r="BI199" s="285"/>
      <c r="BJ199" s="285"/>
      <c r="BK199" s="285"/>
      <c r="BL199" s="285"/>
      <c r="BM199" s="285"/>
      <c r="BN199" s="285"/>
      <c r="BO199" s="285"/>
      <c r="BP199" s="285"/>
      <c r="BQ199" s="285"/>
      <c r="BR199" s="285"/>
      <c r="BS199" s="285"/>
      <c r="BT199" s="285"/>
      <c r="BU199" s="285"/>
      <c r="BV199" s="285"/>
    </row>
    <row r="200" spans="2:74" ht="15" customHeight="1" x14ac:dyDescent="0.2">
      <c r="B200" s="397" t="s">
        <v>7</v>
      </c>
      <c r="C200" s="395" t="s">
        <v>27</v>
      </c>
      <c r="D200" s="395" t="s">
        <v>8</v>
      </c>
      <c r="E200" s="395" t="s">
        <v>8</v>
      </c>
      <c r="F200" s="233" t="s">
        <v>11</v>
      </c>
      <c r="G200" s="233" t="s">
        <v>10</v>
      </c>
      <c r="H200" s="233" t="s">
        <v>8</v>
      </c>
      <c r="I200" s="395"/>
      <c r="J200" s="405"/>
      <c r="K200" s="397"/>
      <c r="L200" s="404" t="s">
        <v>59</v>
      </c>
      <c r="M200" s="133"/>
      <c r="N200" s="133"/>
      <c r="O200" s="156"/>
      <c r="P200" s="156"/>
      <c r="Q200" s="434">
        <v>20000000</v>
      </c>
      <c r="R200" s="5">
        <f>SUM(R201:R201)</f>
        <v>8697137.3599999994</v>
      </c>
      <c r="S200" s="181"/>
      <c r="T200" s="396"/>
      <c r="U200" s="245"/>
      <c r="V200" s="497">
        <f>SUM(V201:V201)</f>
        <v>0</v>
      </c>
      <c r="W200" s="497">
        <f>SUM(W201:W201)</f>
        <v>0</v>
      </c>
      <c r="X200" s="498">
        <f>SUM(X201:X201)</f>
        <v>0</v>
      </c>
      <c r="Y200" s="498">
        <f>SUM(Y201:Y201)</f>
        <v>15000000</v>
      </c>
      <c r="Z200" s="498">
        <f>SUM(Z201:Z201)</f>
        <v>0</v>
      </c>
      <c r="AA200" s="498">
        <f t="shared" ref="AA200:AG200" si="136">SUM(AA201:AA201)</f>
        <v>0</v>
      </c>
      <c r="AB200" s="498">
        <f t="shared" si="136"/>
        <v>0</v>
      </c>
      <c r="AC200" s="498">
        <f t="shared" si="136"/>
        <v>0</v>
      </c>
      <c r="AD200" s="498">
        <f t="shared" si="136"/>
        <v>0</v>
      </c>
      <c r="AE200" s="498">
        <f t="shared" si="136"/>
        <v>5000000</v>
      </c>
      <c r="AF200" s="498">
        <f t="shared" si="136"/>
        <v>0</v>
      </c>
      <c r="AG200" s="498">
        <f t="shared" si="136"/>
        <v>0</v>
      </c>
      <c r="AH200" s="501">
        <f t="shared" si="126"/>
        <v>20000000</v>
      </c>
      <c r="AI200" s="535"/>
      <c r="AJ200" s="535"/>
      <c r="AK200" s="536"/>
      <c r="AL200" s="536"/>
      <c r="AM200" s="536"/>
      <c r="AQ200" s="440"/>
      <c r="AR200" s="285"/>
      <c r="AS200" s="285"/>
      <c r="AT200" s="285"/>
      <c r="AU200" s="285"/>
      <c r="AV200" s="285"/>
      <c r="AW200" s="285"/>
      <c r="AX200" s="285"/>
      <c r="AY200" s="285"/>
      <c r="AZ200" s="285"/>
      <c r="BA200" s="285"/>
      <c r="BB200" s="285"/>
      <c r="BC200" s="285"/>
      <c r="BD200" s="285"/>
      <c r="BE200" s="285"/>
      <c r="BF200" s="285"/>
      <c r="BG200" s="285"/>
      <c r="BH200" s="285"/>
      <c r="BI200" s="285"/>
      <c r="BJ200" s="285"/>
      <c r="BK200" s="285"/>
      <c r="BL200" s="285"/>
      <c r="BM200" s="285"/>
      <c r="BN200" s="285"/>
      <c r="BO200" s="285"/>
      <c r="BP200" s="285"/>
      <c r="BQ200" s="285"/>
      <c r="BR200" s="285"/>
      <c r="BS200" s="285"/>
      <c r="BT200" s="285"/>
      <c r="BU200" s="285"/>
      <c r="BV200" s="285"/>
    </row>
    <row r="201" spans="2:74" ht="180" customHeight="1" x14ac:dyDescent="0.2">
      <c r="B201" s="679"/>
      <c r="C201" s="680"/>
      <c r="D201" s="680"/>
      <c r="E201" s="680"/>
      <c r="F201" s="680"/>
      <c r="G201" s="680"/>
      <c r="H201" s="680"/>
      <c r="I201" s="680"/>
      <c r="J201" s="681"/>
      <c r="K201" s="177" t="s">
        <v>510</v>
      </c>
      <c r="L201" s="400" t="s">
        <v>218</v>
      </c>
      <c r="M201" s="134">
        <v>44242</v>
      </c>
      <c r="N201" s="134" t="s">
        <v>539</v>
      </c>
      <c r="O201" s="157" t="s">
        <v>326</v>
      </c>
      <c r="P201" s="157" t="s">
        <v>384</v>
      </c>
      <c r="Q201" s="434"/>
      <c r="R201" s="101">
        <f>20000000-11302862.64</f>
        <v>8697137.3599999994</v>
      </c>
      <c r="S201" s="402" t="s">
        <v>350</v>
      </c>
      <c r="T201" s="425"/>
      <c r="U201" s="253" t="s">
        <v>222</v>
      </c>
      <c r="V201" s="497"/>
      <c r="W201" s="497"/>
      <c r="X201" s="498"/>
      <c r="Y201" s="498">
        <v>15000000</v>
      </c>
      <c r="Z201" s="498"/>
      <c r="AA201" s="498"/>
      <c r="AB201" s="498"/>
      <c r="AC201" s="498"/>
      <c r="AD201" s="498"/>
      <c r="AE201" s="498">
        <v>5000000</v>
      </c>
      <c r="AF201" s="498"/>
      <c r="AG201" s="498"/>
      <c r="AH201" s="501">
        <f t="shared" si="126"/>
        <v>20000000</v>
      </c>
      <c r="AI201" s="535">
        <v>15621</v>
      </c>
      <c r="AJ201" s="538">
        <v>44239</v>
      </c>
      <c r="AK201" s="536">
        <v>20000000</v>
      </c>
      <c r="AL201" s="536">
        <v>8697137.3599999994</v>
      </c>
      <c r="AM201" s="536">
        <v>8697137.3599999994</v>
      </c>
      <c r="AN201" s="532">
        <f>+R201-AL201</f>
        <v>0</v>
      </c>
      <c r="AO201" s="532">
        <f>+AL201-AM201</f>
        <v>0</v>
      </c>
      <c r="AP201" s="532">
        <f>R201-AL201+AO201</f>
        <v>0</v>
      </c>
      <c r="AQ201" s="440"/>
      <c r="AR201" s="285"/>
      <c r="AS201" s="285"/>
      <c r="AT201" s="285"/>
      <c r="AU201" s="285"/>
      <c r="AV201" s="285"/>
      <c r="AW201" s="285"/>
      <c r="AX201" s="285"/>
      <c r="AY201" s="285"/>
      <c r="AZ201" s="285"/>
      <c r="BA201" s="285"/>
      <c r="BB201" s="285"/>
      <c r="BC201" s="285"/>
      <c r="BD201" s="285"/>
      <c r="BE201" s="285"/>
      <c r="BF201" s="285"/>
      <c r="BG201" s="285"/>
      <c r="BH201" s="285"/>
      <c r="BI201" s="285"/>
      <c r="BJ201" s="285"/>
      <c r="BK201" s="285"/>
      <c r="BL201" s="285"/>
      <c r="BM201" s="285"/>
      <c r="BN201" s="285"/>
      <c r="BO201" s="285"/>
      <c r="BP201" s="285"/>
      <c r="BQ201" s="285"/>
      <c r="BR201" s="285"/>
      <c r="BS201" s="285"/>
      <c r="BT201" s="285"/>
      <c r="BU201" s="285"/>
      <c r="BV201" s="285"/>
    </row>
    <row r="202" spans="2:74" ht="30" customHeight="1" x14ac:dyDescent="0.2">
      <c r="B202" s="31" t="s">
        <v>7</v>
      </c>
      <c r="C202" s="32" t="s">
        <v>27</v>
      </c>
      <c r="D202" s="32" t="s">
        <v>8</v>
      </c>
      <c r="E202" s="32" t="s">
        <v>8</v>
      </c>
      <c r="F202" s="32" t="s">
        <v>11</v>
      </c>
      <c r="G202" s="32" t="s">
        <v>11</v>
      </c>
      <c r="H202" s="32"/>
      <c r="I202" s="32"/>
      <c r="J202" s="202"/>
      <c r="K202" s="31"/>
      <c r="L202" s="416" t="s">
        <v>60</v>
      </c>
      <c r="M202" s="141"/>
      <c r="N202" s="141"/>
      <c r="O202" s="164"/>
      <c r="P202" s="164"/>
      <c r="Q202" s="434">
        <f>+Q203</f>
        <v>24000000</v>
      </c>
      <c r="R202" s="34">
        <f>+R203</f>
        <v>23500000</v>
      </c>
      <c r="S202" s="32"/>
      <c r="T202" s="35"/>
      <c r="U202" s="261"/>
      <c r="V202" s="497">
        <f>+V203</f>
        <v>0</v>
      </c>
      <c r="W202" s="497">
        <f>+W203</f>
        <v>0</v>
      </c>
      <c r="X202" s="498">
        <f>+X203</f>
        <v>0</v>
      </c>
      <c r="Y202" s="498">
        <f>+Y203</f>
        <v>5875000</v>
      </c>
      <c r="Z202" s="498">
        <f>+Z203</f>
        <v>0</v>
      </c>
      <c r="AA202" s="498">
        <f t="shared" ref="AA202:AG202" si="137">+AA203</f>
        <v>0</v>
      </c>
      <c r="AB202" s="498">
        <f t="shared" si="137"/>
        <v>5875000</v>
      </c>
      <c r="AC202" s="498">
        <f t="shared" si="137"/>
        <v>0</v>
      </c>
      <c r="AD202" s="498">
        <f t="shared" si="137"/>
        <v>0</v>
      </c>
      <c r="AE202" s="498">
        <f t="shared" si="137"/>
        <v>5875000</v>
      </c>
      <c r="AF202" s="498">
        <f t="shared" si="137"/>
        <v>0</v>
      </c>
      <c r="AG202" s="498">
        <f t="shared" si="137"/>
        <v>5875000</v>
      </c>
      <c r="AH202" s="501">
        <f t="shared" si="126"/>
        <v>23500000</v>
      </c>
      <c r="AI202" s="535"/>
      <c r="AJ202" s="535"/>
      <c r="AK202" s="536"/>
      <c r="AL202" s="536"/>
      <c r="AM202" s="536"/>
      <c r="AQ202" s="440"/>
      <c r="AR202" s="285"/>
      <c r="AS202" s="285"/>
      <c r="AT202" s="285"/>
      <c r="AU202" s="285"/>
      <c r="AV202" s="285"/>
      <c r="AW202" s="285"/>
      <c r="AX202" s="285"/>
      <c r="AY202" s="285"/>
      <c r="AZ202" s="285"/>
      <c r="BA202" s="285"/>
      <c r="BB202" s="285"/>
      <c r="BC202" s="285"/>
      <c r="BD202" s="285"/>
      <c r="BE202" s="285"/>
      <c r="BF202" s="285"/>
      <c r="BG202" s="285"/>
      <c r="BH202" s="285"/>
      <c r="BI202" s="285"/>
      <c r="BJ202" s="285"/>
      <c r="BK202" s="285"/>
      <c r="BL202" s="285"/>
      <c r="BM202" s="285"/>
      <c r="BN202" s="285"/>
      <c r="BO202" s="285"/>
      <c r="BP202" s="285"/>
      <c r="BQ202" s="285"/>
      <c r="BR202" s="285"/>
      <c r="BS202" s="285"/>
      <c r="BT202" s="285"/>
      <c r="BU202" s="285"/>
      <c r="BV202" s="285"/>
    </row>
    <row r="203" spans="2:74" ht="30" customHeight="1" x14ac:dyDescent="0.2">
      <c r="B203" s="397" t="s">
        <v>7</v>
      </c>
      <c r="C203" s="395" t="s">
        <v>27</v>
      </c>
      <c r="D203" s="395" t="s">
        <v>8</v>
      </c>
      <c r="E203" s="395" t="s">
        <v>8</v>
      </c>
      <c r="F203" s="395" t="s">
        <v>11</v>
      </c>
      <c r="G203" s="395" t="s">
        <v>11</v>
      </c>
      <c r="H203" s="395">
        <v>4</v>
      </c>
      <c r="I203" s="395"/>
      <c r="J203" s="405"/>
      <c r="K203" s="397"/>
      <c r="L203" s="404" t="s">
        <v>61</v>
      </c>
      <c r="M203" s="133"/>
      <c r="N203" s="133"/>
      <c r="O203" s="156"/>
      <c r="P203" s="156"/>
      <c r="Q203" s="434">
        <v>24000000</v>
      </c>
      <c r="R203" s="5">
        <f>SUM(R204:R204)</f>
        <v>23500000</v>
      </c>
      <c r="S203" s="181"/>
      <c r="T203" s="396"/>
      <c r="U203" s="245"/>
      <c r="V203" s="497">
        <f>SUM(V204:V204)</f>
        <v>0</v>
      </c>
      <c r="W203" s="497">
        <f>SUM(W204:W204)</f>
        <v>0</v>
      </c>
      <c r="X203" s="498">
        <f>SUM(X204:X204)</f>
        <v>0</v>
      </c>
      <c r="Y203" s="498">
        <f>SUM(Y204:Y204)</f>
        <v>5875000</v>
      </c>
      <c r="Z203" s="498">
        <f>SUM(Z204:Z204)</f>
        <v>0</v>
      </c>
      <c r="AA203" s="498">
        <f t="shared" ref="AA203:AG203" si="138">SUM(AA204:AA204)</f>
        <v>0</v>
      </c>
      <c r="AB203" s="498">
        <f t="shared" si="138"/>
        <v>5875000</v>
      </c>
      <c r="AC203" s="498">
        <f t="shared" si="138"/>
        <v>0</v>
      </c>
      <c r="AD203" s="498">
        <f t="shared" si="138"/>
        <v>0</v>
      </c>
      <c r="AE203" s="498">
        <f t="shared" si="138"/>
        <v>5875000</v>
      </c>
      <c r="AF203" s="498">
        <f t="shared" si="138"/>
        <v>0</v>
      </c>
      <c r="AG203" s="498">
        <f t="shared" si="138"/>
        <v>5875000</v>
      </c>
      <c r="AH203" s="501">
        <f t="shared" si="126"/>
        <v>23500000</v>
      </c>
      <c r="AI203" s="535"/>
      <c r="AJ203" s="535"/>
      <c r="AK203" s="536"/>
      <c r="AL203" s="536"/>
      <c r="AM203" s="536"/>
      <c r="AQ203" s="440"/>
      <c r="AR203" s="285"/>
      <c r="AS203" s="285"/>
      <c r="AT203" s="285"/>
      <c r="AU203" s="285"/>
      <c r="AV203" s="285"/>
      <c r="AW203" s="285"/>
      <c r="AX203" s="285"/>
      <c r="AY203" s="285"/>
      <c r="AZ203" s="285"/>
      <c r="BA203" s="285"/>
      <c r="BB203" s="285"/>
      <c r="BC203" s="285"/>
      <c r="BD203" s="285"/>
      <c r="BE203" s="285"/>
      <c r="BF203" s="285"/>
      <c r="BG203" s="285"/>
      <c r="BH203" s="285"/>
      <c r="BI203" s="285"/>
      <c r="BJ203" s="285"/>
      <c r="BK203" s="285"/>
      <c r="BL203" s="285"/>
      <c r="BM203" s="285"/>
      <c r="BN203" s="285"/>
      <c r="BO203" s="285"/>
      <c r="BP203" s="285"/>
      <c r="BQ203" s="285"/>
      <c r="BR203" s="285"/>
      <c r="BS203" s="285"/>
      <c r="BT203" s="285"/>
      <c r="BU203" s="285"/>
      <c r="BV203" s="285"/>
    </row>
    <row r="204" spans="2:74" ht="60" customHeight="1" x14ac:dyDescent="0.2">
      <c r="B204" s="679"/>
      <c r="C204" s="680"/>
      <c r="D204" s="680"/>
      <c r="E204" s="680"/>
      <c r="F204" s="680"/>
      <c r="G204" s="680"/>
      <c r="H204" s="680"/>
      <c r="I204" s="680"/>
      <c r="J204" s="681"/>
      <c r="K204" s="398">
        <v>15101500</v>
      </c>
      <c r="L204" s="400" t="s">
        <v>515</v>
      </c>
      <c r="M204" s="134">
        <v>44211</v>
      </c>
      <c r="N204" s="134" t="s">
        <v>540</v>
      </c>
      <c r="O204" s="157" t="s">
        <v>516</v>
      </c>
      <c r="P204" s="157" t="s">
        <v>496</v>
      </c>
      <c r="Q204" s="434"/>
      <c r="R204" s="101">
        <v>23500000</v>
      </c>
      <c r="S204" s="402" t="s">
        <v>350</v>
      </c>
      <c r="T204" s="399"/>
      <c r="U204" s="253" t="s">
        <v>221</v>
      </c>
      <c r="V204" s="497"/>
      <c r="W204" s="497"/>
      <c r="X204" s="498"/>
      <c r="Y204" s="498">
        <v>5875000</v>
      </c>
      <c r="Z204" s="498"/>
      <c r="AA204" s="498"/>
      <c r="AB204" s="498">
        <v>5875000</v>
      </c>
      <c r="AC204" s="498"/>
      <c r="AD204" s="498"/>
      <c r="AE204" s="498">
        <v>5875000</v>
      </c>
      <c r="AF204" s="498"/>
      <c r="AG204" s="498">
        <v>5875000</v>
      </c>
      <c r="AH204" s="501">
        <f t="shared" si="126"/>
        <v>23500000</v>
      </c>
      <c r="AI204" s="535">
        <v>16921</v>
      </c>
      <c r="AJ204" s="538">
        <v>44243</v>
      </c>
      <c r="AK204" s="536">
        <v>23500000</v>
      </c>
      <c r="AL204" s="536">
        <v>23500000</v>
      </c>
      <c r="AM204" s="536">
        <v>23500000</v>
      </c>
      <c r="AN204" s="532">
        <f>+R204-AL204</f>
        <v>0</v>
      </c>
      <c r="AO204" s="532">
        <f>+AL204-AM204</f>
        <v>0</v>
      </c>
      <c r="AP204" s="532">
        <f>R204-AL204+AO204</f>
        <v>0</v>
      </c>
      <c r="AQ204" s="440"/>
      <c r="AR204" s="285"/>
      <c r="AS204" s="285"/>
      <c r="AT204" s="285"/>
      <c r="AU204" s="285"/>
      <c r="AV204" s="285"/>
      <c r="AW204" s="285"/>
      <c r="AX204" s="285"/>
      <c r="AY204" s="285"/>
      <c r="AZ204" s="285"/>
      <c r="BA204" s="285"/>
      <c r="BB204" s="285"/>
      <c r="BC204" s="285"/>
      <c r="BD204" s="285"/>
      <c r="BE204" s="285"/>
      <c r="BF204" s="285"/>
      <c r="BG204" s="285"/>
      <c r="BH204" s="285"/>
      <c r="BI204" s="285"/>
      <c r="BJ204" s="285"/>
      <c r="BK204" s="285"/>
      <c r="BL204" s="285"/>
      <c r="BM204" s="285"/>
      <c r="BN204" s="285"/>
      <c r="BO204" s="285"/>
      <c r="BP204" s="285"/>
      <c r="BQ204" s="285"/>
      <c r="BR204" s="285"/>
      <c r="BS204" s="285"/>
      <c r="BT204" s="285"/>
      <c r="BU204" s="285"/>
      <c r="BV204" s="285"/>
    </row>
    <row r="205" spans="2:74" s="440" customFormat="1" ht="15" customHeight="1" x14ac:dyDescent="0.2">
      <c r="B205" s="444" t="s">
        <v>7</v>
      </c>
      <c r="C205" s="445" t="s">
        <v>27</v>
      </c>
      <c r="D205" s="445" t="s">
        <v>8</v>
      </c>
      <c r="E205" s="445" t="s">
        <v>8</v>
      </c>
      <c r="F205" s="445" t="s">
        <v>11</v>
      </c>
      <c r="G205" s="445" t="s">
        <v>12</v>
      </c>
      <c r="H205" s="445"/>
      <c r="I205" s="445"/>
      <c r="J205" s="455"/>
      <c r="K205" s="444"/>
      <c r="L205" s="465" t="s">
        <v>62</v>
      </c>
      <c r="M205" s="141"/>
      <c r="N205" s="141"/>
      <c r="O205" s="164"/>
      <c r="P205" s="164"/>
      <c r="Q205" s="434">
        <f>+Q206</f>
        <v>24000000</v>
      </c>
      <c r="R205" s="34">
        <f>+R206</f>
        <v>0</v>
      </c>
      <c r="S205" s="445"/>
      <c r="T205" s="446"/>
      <c r="U205" s="463"/>
      <c r="V205" s="497">
        <f>+V206</f>
        <v>0</v>
      </c>
      <c r="W205" s="497">
        <f>+W206</f>
        <v>0</v>
      </c>
      <c r="X205" s="498">
        <f>+X206</f>
        <v>0</v>
      </c>
      <c r="Y205" s="498">
        <f>+Y206</f>
        <v>0</v>
      </c>
      <c r="Z205" s="498">
        <f>+Z206</f>
        <v>0</v>
      </c>
      <c r="AA205" s="498">
        <f t="shared" ref="AA205:AG205" si="139">+AA206</f>
        <v>0</v>
      </c>
      <c r="AB205" s="498">
        <f t="shared" si="139"/>
        <v>29830000</v>
      </c>
      <c r="AC205" s="498">
        <f t="shared" si="139"/>
        <v>0</v>
      </c>
      <c r="AD205" s="498">
        <f t="shared" si="139"/>
        <v>0</v>
      </c>
      <c r="AE205" s="498">
        <f t="shared" si="139"/>
        <v>0</v>
      </c>
      <c r="AF205" s="498">
        <f t="shared" si="139"/>
        <v>0</v>
      </c>
      <c r="AG205" s="498">
        <f t="shared" si="139"/>
        <v>0</v>
      </c>
      <c r="AH205" s="501">
        <f t="shared" si="126"/>
        <v>29830000</v>
      </c>
      <c r="AI205" s="535"/>
      <c r="AJ205" s="535"/>
      <c r="AK205" s="536"/>
      <c r="AL205" s="536"/>
      <c r="AM205" s="536"/>
      <c r="AN205" s="527"/>
      <c r="AO205" s="527"/>
      <c r="AP205" s="527"/>
      <c r="AR205" s="285"/>
      <c r="AS205" s="285"/>
      <c r="AT205" s="285"/>
      <c r="AU205" s="285"/>
      <c r="AV205" s="285"/>
      <c r="AW205" s="285"/>
      <c r="AX205" s="285"/>
      <c r="AY205" s="285"/>
      <c r="AZ205" s="285"/>
      <c r="BA205" s="285"/>
      <c r="BB205" s="285"/>
      <c r="BC205" s="285"/>
      <c r="BD205" s="285"/>
      <c r="BE205" s="285"/>
      <c r="BF205" s="285"/>
      <c r="BG205" s="285"/>
      <c r="BH205" s="285"/>
      <c r="BI205" s="285"/>
      <c r="BJ205" s="285"/>
      <c r="BK205" s="285"/>
      <c r="BL205" s="285"/>
      <c r="BM205" s="285"/>
      <c r="BN205" s="285"/>
      <c r="BO205" s="285"/>
      <c r="BP205" s="285"/>
      <c r="BQ205" s="285"/>
      <c r="BR205" s="285"/>
      <c r="BS205" s="285"/>
      <c r="BT205" s="285"/>
      <c r="BU205" s="285"/>
      <c r="BV205" s="285"/>
    </row>
    <row r="206" spans="2:74" s="440" customFormat="1" ht="15" customHeight="1" x14ac:dyDescent="0.2">
      <c r="B206" s="443" t="s">
        <v>7</v>
      </c>
      <c r="C206" s="441" t="s">
        <v>27</v>
      </c>
      <c r="D206" s="441" t="s">
        <v>8</v>
      </c>
      <c r="E206" s="441" t="s">
        <v>8</v>
      </c>
      <c r="F206" s="441" t="s">
        <v>11</v>
      </c>
      <c r="G206" s="441" t="s">
        <v>12</v>
      </c>
      <c r="H206" s="504" t="s">
        <v>27</v>
      </c>
      <c r="I206" s="441"/>
      <c r="J206" s="454"/>
      <c r="K206" s="443"/>
      <c r="L206" s="464" t="s">
        <v>598</v>
      </c>
      <c r="M206" s="133"/>
      <c r="N206" s="133"/>
      <c r="O206" s="156"/>
      <c r="P206" s="156"/>
      <c r="Q206" s="434">
        <v>24000000</v>
      </c>
      <c r="R206" s="5">
        <f>SUM(R207:R207)</f>
        <v>0</v>
      </c>
      <c r="S206" s="452"/>
      <c r="T206" s="442"/>
      <c r="U206" s="460"/>
      <c r="V206" s="497">
        <f>SUM(V207:V207)</f>
        <v>0</v>
      </c>
      <c r="W206" s="497">
        <f>SUM(W207:W207)</f>
        <v>0</v>
      </c>
      <c r="X206" s="498">
        <f>SUM(X207:X207)</f>
        <v>0</v>
      </c>
      <c r="Y206" s="498">
        <f>SUM(Y207:Y207)</f>
        <v>0</v>
      </c>
      <c r="Z206" s="498">
        <f>SUM(Z207:Z207)</f>
        <v>0</v>
      </c>
      <c r="AA206" s="498">
        <f t="shared" ref="AA206:AG206" si="140">SUM(AA207:AA207)</f>
        <v>0</v>
      </c>
      <c r="AB206" s="498">
        <f t="shared" si="140"/>
        <v>29830000</v>
      </c>
      <c r="AC206" s="498">
        <f t="shared" si="140"/>
        <v>0</v>
      </c>
      <c r="AD206" s="498">
        <f t="shared" si="140"/>
        <v>0</v>
      </c>
      <c r="AE206" s="498">
        <f t="shared" si="140"/>
        <v>0</v>
      </c>
      <c r="AF206" s="498">
        <f t="shared" si="140"/>
        <v>0</v>
      </c>
      <c r="AG206" s="498">
        <f t="shared" si="140"/>
        <v>0</v>
      </c>
      <c r="AH206" s="501">
        <f t="shared" si="126"/>
        <v>29830000</v>
      </c>
      <c r="AI206" s="535"/>
      <c r="AJ206" s="535"/>
      <c r="AK206" s="536"/>
      <c r="AL206" s="536"/>
      <c r="AM206" s="536"/>
      <c r="AN206" s="527"/>
      <c r="AO206" s="527"/>
      <c r="AP206" s="527"/>
      <c r="AR206" s="285"/>
      <c r="AS206" s="285"/>
      <c r="AT206" s="285"/>
      <c r="AU206" s="285"/>
      <c r="AV206" s="285"/>
      <c r="AW206" s="285"/>
      <c r="AX206" s="285"/>
      <c r="AY206" s="285"/>
      <c r="AZ206" s="285"/>
      <c r="BA206" s="285"/>
      <c r="BB206" s="285"/>
      <c r="BC206" s="285"/>
      <c r="BD206" s="285"/>
      <c r="BE206" s="285"/>
      <c r="BF206" s="285"/>
      <c r="BG206" s="285"/>
      <c r="BH206" s="285"/>
      <c r="BI206" s="285"/>
      <c r="BJ206" s="285"/>
      <c r="BK206" s="285"/>
      <c r="BL206" s="285"/>
      <c r="BM206" s="285"/>
      <c r="BN206" s="285"/>
      <c r="BO206" s="285"/>
      <c r="BP206" s="285"/>
      <c r="BQ206" s="285"/>
      <c r="BR206" s="285"/>
      <c r="BS206" s="285"/>
      <c r="BT206" s="285"/>
      <c r="BU206" s="285"/>
      <c r="BV206" s="285"/>
    </row>
    <row r="207" spans="2:74" s="440" customFormat="1" ht="30" customHeight="1" x14ac:dyDescent="0.2">
      <c r="B207" s="467"/>
      <c r="C207" s="468"/>
      <c r="D207" s="468"/>
      <c r="E207" s="468"/>
      <c r="F207" s="468"/>
      <c r="G207" s="468"/>
      <c r="H207" s="468"/>
      <c r="I207" s="468"/>
      <c r="J207" s="468"/>
      <c r="K207" s="447">
        <v>47121700</v>
      </c>
      <c r="L207" s="451" t="s">
        <v>499</v>
      </c>
      <c r="M207" s="134">
        <v>44272</v>
      </c>
      <c r="N207" s="134" t="s">
        <v>574</v>
      </c>
      <c r="O207" s="157" t="s">
        <v>500</v>
      </c>
      <c r="P207" s="157" t="s">
        <v>483</v>
      </c>
      <c r="Q207" s="434"/>
      <c r="R207" s="101">
        <v>0</v>
      </c>
      <c r="S207" s="453" t="s">
        <v>386</v>
      </c>
      <c r="T207" s="449"/>
      <c r="U207" s="461" t="s">
        <v>466</v>
      </c>
      <c r="V207" s="497"/>
      <c r="W207" s="497"/>
      <c r="X207" s="498"/>
      <c r="Y207" s="498"/>
      <c r="Z207" s="498"/>
      <c r="AA207" s="498"/>
      <c r="AB207" s="498">
        <v>29830000</v>
      </c>
      <c r="AC207" s="498"/>
      <c r="AD207" s="498"/>
      <c r="AE207" s="498"/>
      <c r="AF207" s="498"/>
      <c r="AG207" s="498"/>
      <c r="AH207" s="501">
        <f t="shared" si="126"/>
        <v>29830000</v>
      </c>
      <c r="AI207" s="535"/>
      <c r="AJ207" s="538"/>
      <c r="AK207" s="536"/>
      <c r="AL207" s="536"/>
      <c r="AM207" s="536"/>
      <c r="AN207" s="527"/>
      <c r="AO207" s="527"/>
      <c r="AP207" s="527"/>
      <c r="AR207" s="285"/>
      <c r="AS207" s="285"/>
      <c r="AT207" s="285"/>
      <c r="AU207" s="285"/>
      <c r="AV207" s="285"/>
      <c r="AW207" s="285"/>
      <c r="AX207" s="285"/>
      <c r="AY207" s="285"/>
      <c r="AZ207" s="285"/>
      <c r="BA207" s="285"/>
      <c r="BB207" s="285"/>
      <c r="BC207" s="285"/>
      <c r="BD207" s="285"/>
      <c r="BE207" s="285"/>
      <c r="BF207" s="285"/>
      <c r="BG207" s="285"/>
      <c r="BH207" s="285"/>
      <c r="BI207" s="285"/>
      <c r="BJ207" s="285"/>
      <c r="BK207" s="285"/>
      <c r="BL207" s="285"/>
      <c r="BM207" s="285"/>
      <c r="BN207" s="285"/>
      <c r="BO207" s="285"/>
      <c r="BP207" s="285"/>
      <c r="BQ207" s="285"/>
      <c r="BR207" s="285"/>
      <c r="BS207" s="285"/>
      <c r="BT207" s="285"/>
      <c r="BU207" s="285"/>
      <c r="BV207" s="285"/>
    </row>
    <row r="208" spans="2:74" s="440" customFormat="1" ht="15" customHeight="1" x14ac:dyDescent="0.2">
      <c r="B208" s="444" t="s">
        <v>7</v>
      </c>
      <c r="C208" s="445" t="s">
        <v>27</v>
      </c>
      <c r="D208" s="445" t="s">
        <v>8</v>
      </c>
      <c r="E208" s="445" t="s">
        <v>8</v>
      </c>
      <c r="F208" s="445" t="s">
        <v>11</v>
      </c>
      <c r="G208" s="505" t="s">
        <v>14</v>
      </c>
      <c r="H208" s="445"/>
      <c r="I208" s="445"/>
      <c r="J208" s="455"/>
      <c r="K208" s="444"/>
      <c r="L208" s="465" t="s">
        <v>66</v>
      </c>
      <c r="M208" s="141"/>
      <c r="N208" s="141"/>
      <c r="O208" s="164"/>
      <c r="P208" s="164"/>
      <c r="Q208" s="434">
        <f>+Q211</f>
        <v>24000000</v>
      </c>
      <c r="R208" s="365">
        <f>+R211+R209</f>
        <v>41132862.640000001</v>
      </c>
      <c r="S208" s="445"/>
      <c r="T208" s="446"/>
      <c r="U208" s="463"/>
      <c r="V208" s="497">
        <f>+V211</f>
        <v>0</v>
      </c>
      <c r="W208" s="497">
        <f>+W211</f>
        <v>0</v>
      </c>
      <c r="X208" s="498">
        <f>+X211</f>
        <v>0</v>
      </c>
      <c r="Y208" s="498">
        <f>+Y211</f>
        <v>0</v>
      </c>
      <c r="Z208" s="498">
        <f>+Z211</f>
        <v>0</v>
      </c>
      <c r="AA208" s="498">
        <f t="shared" ref="AA208:AG208" si="141">+AA211</f>
        <v>0</v>
      </c>
      <c r="AB208" s="498">
        <f t="shared" si="141"/>
        <v>29830000</v>
      </c>
      <c r="AC208" s="498">
        <f t="shared" si="141"/>
        <v>0</v>
      </c>
      <c r="AD208" s="498">
        <f t="shared" si="141"/>
        <v>0</v>
      </c>
      <c r="AE208" s="498">
        <f t="shared" si="141"/>
        <v>0</v>
      </c>
      <c r="AF208" s="498">
        <f t="shared" si="141"/>
        <v>0</v>
      </c>
      <c r="AG208" s="498">
        <f t="shared" si="141"/>
        <v>0</v>
      </c>
      <c r="AH208" s="501">
        <f t="shared" ref="AH208:AH212" si="142">SUM(V208:AG208)</f>
        <v>29830000</v>
      </c>
      <c r="AI208" s="535"/>
      <c r="AJ208" s="535"/>
      <c r="AK208" s="536"/>
      <c r="AL208" s="536"/>
      <c r="AM208" s="536"/>
      <c r="AN208" s="527"/>
      <c r="AO208" s="527"/>
      <c r="AP208" s="527"/>
      <c r="AR208" s="285"/>
      <c r="AS208" s="285"/>
      <c r="AT208" s="285"/>
      <c r="AU208" s="285"/>
      <c r="AV208" s="285"/>
      <c r="AW208" s="285"/>
      <c r="AX208" s="285"/>
      <c r="AY208" s="285"/>
      <c r="AZ208" s="285"/>
      <c r="BA208" s="285"/>
      <c r="BB208" s="285"/>
      <c r="BC208" s="285"/>
      <c r="BD208" s="285"/>
      <c r="BE208" s="285"/>
      <c r="BF208" s="285"/>
      <c r="BG208" s="285"/>
      <c r="BH208" s="285"/>
      <c r="BI208" s="285"/>
      <c r="BJ208" s="285"/>
      <c r="BK208" s="285"/>
      <c r="BL208" s="285"/>
      <c r="BM208" s="285"/>
      <c r="BN208" s="285"/>
      <c r="BO208" s="285"/>
      <c r="BP208" s="285"/>
      <c r="BQ208" s="285"/>
      <c r="BR208" s="285"/>
      <c r="BS208" s="285"/>
      <c r="BT208" s="285"/>
      <c r="BU208" s="285"/>
      <c r="BV208" s="285"/>
    </row>
    <row r="209" spans="2:74" s="440" customFormat="1" ht="15" customHeight="1" x14ac:dyDescent="0.2">
      <c r="B209" s="443" t="s">
        <v>7</v>
      </c>
      <c r="C209" s="441" t="s">
        <v>27</v>
      </c>
      <c r="D209" s="441" t="s">
        <v>8</v>
      </c>
      <c r="E209" s="441" t="s">
        <v>8</v>
      </c>
      <c r="F209" s="441" t="s">
        <v>11</v>
      </c>
      <c r="G209" s="504" t="s">
        <v>14</v>
      </c>
      <c r="H209" s="504" t="s">
        <v>20</v>
      </c>
      <c r="I209" s="441"/>
      <c r="J209" s="454"/>
      <c r="K209" s="443"/>
      <c r="L209" s="464" t="s">
        <v>674</v>
      </c>
      <c r="M209" s="133"/>
      <c r="N209" s="133"/>
      <c r="O209" s="156"/>
      <c r="P209" s="156"/>
      <c r="Q209" s="434">
        <v>24000000</v>
      </c>
      <c r="R209" s="5">
        <f>SUM(R210:R210)</f>
        <v>16302862.640000001</v>
      </c>
      <c r="S209" s="452"/>
      <c r="T209" s="442"/>
      <c r="U209" s="460"/>
      <c r="V209" s="497">
        <f>SUM(V210:V210)</f>
        <v>0</v>
      </c>
      <c r="W209" s="497">
        <f>SUM(W210:W210)</f>
        <v>0</v>
      </c>
      <c r="X209" s="498">
        <f>SUM(X210:X210)</f>
        <v>0</v>
      </c>
      <c r="Y209" s="498">
        <f>SUM(Y210:Y210)</f>
        <v>0</v>
      </c>
      <c r="Z209" s="498">
        <f>SUM(Z210:Z210)</f>
        <v>0</v>
      </c>
      <c r="AA209" s="498">
        <f t="shared" ref="AA209:AG211" si="143">SUM(AA210:AA210)</f>
        <v>0</v>
      </c>
      <c r="AB209" s="498">
        <f t="shared" si="143"/>
        <v>0</v>
      </c>
      <c r="AC209" s="498">
        <f t="shared" si="143"/>
        <v>0</v>
      </c>
      <c r="AD209" s="498">
        <f t="shared" si="143"/>
        <v>0</v>
      </c>
      <c r="AE209" s="498">
        <f t="shared" si="143"/>
        <v>0</v>
      </c>
      <c r="AF209" s="498">
        <f t="shared" si="143"/>
        <v>19203744</v>
      </c>
      <c r="AG209" s="498">
        <f t="shared" si="143"/>
        <v>0</v>
      </c>
      <c r="AH209" s="501">
        <f t="shared" ref="AH209:AH210" si="144">SUM(V209:AG209)</f>
        <v>19203744</v>
      </c>
      <c r="AI209" s="535"/>
      <c r="AJ209" s="535"/>
      <c r="AK209" s="536"/>
      <c r="AL209" s="536"/>
      <c r="AM209" s="536"/>
      <c r="AN209" s="527"/>
      <c r="AO209" s="527"/>
      <c r="AP209" s="527"/>
      <c r="AR209" s="285"/>
      <c r="AS209" s="285"/>
      <c r="AT209" s="285"/>
      <c r="AU209" s="285"/>
      <c r="AV209" s="285"/>
      <c r="AW209" s="285"/>
      <c r="AX209" s="285"/>
      <c r="AY209" s="285"/>
      <c r="AZ209" s="285"/>
      <c r="BA209" s="285"/>
      <c r="BB209" s="285"/>
      <c r="BC209" s="285"/>
      <c r="BD209" s="285"/>
      <c r="BE209" s="285"/>
      <c r="BF209" s="285"/>
      <c r="BG209" s="285"/>
      <c r="BH209" s="285"/>
      <c r="BI209" s="285"/>
      <c r="BJ209" s="285"/>
      <c r="BK209" s="285"/>
      <c r="BL209" s="285"/>
      <c r="BM209" s="285"/>
      <c r="BN209" s="285"/>
      <c r="BO209" s="285"/>
      <c r="BP209" s="285"/>
      <c r="BQ209" s="285"/>
      <c r="BR209" s="285"/>
      <c r="BS209" s="285"/>
      <c r="BT209" s="285"/>
      <c r="BU209" s="285"/>
      <c r="BV209" s="285"/>
    </row>
    <row r="210" spans="2:74" s="440" customFormat="1" ht="47.25" customHeight="1" x14ac:dyDescent="0.2">
      <c r="B210" s="603"/>
      <c r="C210" s="604"/>
      <c r="D210" s="604"/>
      <c r="E210" s="604"/>
      <c r="F210" s="604"/>
      <c r="G210" s="604"/>
      <c r="H210" s="604"/>
      <c r="I210" s="604"/>
      <c r="J210" s="604"/>
      <c r="K210" s="447">
        <v>52101500</v>
      </c>
      <c r="L210" s="451" t="s">
        <v>663</v>
      </c>
      <c r="M210" s="134">
        <v>44484</v>
      </c>
      <c r="N210" s="134" t="s">
        <v>578</v>
      </c>
      <c r="O210" s="157" t="s">
        <v>294</v>
      </c>
      <c r="P210" s="157" t="s">
        <v>489</v>
      </c>
      <c r="Q210" s="434"/>
      <c r="R210" s="101">
        <f>11302862.64+5000000</f>
        <v>16302862.640000001</v>
      </c>
      <c r="S210" s="453" t="s">
        <v>386</v>
      </c>
      <c r="T210" s="449"/>
      <c r="U210" s="461" t="s">
        <v>221</v>
      </c>
      <c r="V210" s="497"/>
      <c r="W210" s="497"/>
      <c r="X210" s="498"/>
      <c r="Y210" s="498"/>
      <c r="Z210" s="498"/>
      <c r="AA210" s="498"/>
      <c r="AB210" s="498"/>
      <c r="AC210" s="498"/>
      <c r="AD210" s="498"/>
      <c r="AE210" s="498"/>
      <c r="AF210" s="498">
        <v>19203744</v>
      </c>
      <c r="AG210" s="498"/>
      <c r="AH210" s="501">
        <f t="shared" si="144"/>
        <v>19203744</v>
      </c>
      <c r="AI210" s="535">
        <v>84121</v>
      </c>
      <c r="AJ210" s="538">
        <v>44491</v>
      </c>
      <c r="AK210" s="536">
        <v>16900000</v>
      </c>
      <c r="AL210" s="563">
        <v>14788130</v>
      </c>
      <c r="AM210" s="536">
        <v>14788130</v>
      </c>
      <c r="AN210" s="532">
        <f>+R210-AL210</f>
        <v>1514732.6400000006</v>
      </c>
      <c r="AO210" s="532">
        <f>+AL210-AM210</f>
        <v>0</v>
      </c>
      <c r="AP210" s="533">
        <f>R210-AL210+AO210</f>
        <v>1514732.6400000006</v>
      </c>
      <c r="AR210" s="285"/>
      <c r="AS210" s="285"/>
      <c r="AT210" s="285"/>
      <c r="AU210" s="285"/>
      <c r="AV210" s="285"/>
      <c r="AW210" s="285"/>
      <c r="AX210" s="285"/>
      <c r="AY210" s="285"/>
      <c r="AZ210" s="285"/>
      <c r="BA210" s="285"/>
      <c r="BB210" s="285"/>
      <c r="BC210" s="285"/>
      <c r="BD210" s="285"/>
      <c r="BE210" s="285"/>
      <c r="BF210" s="285"/>
      <c r="BG210" s="285"/>
      <c r="BH210" s="285"/>
      <c r="BI210" s="285"/>
      <c r="BJ210" s="285"/>
      <c r="BK210" s="285"/>
      <c r="BL210" s="285"/>
      <c r="BM210" s="285"/>
      <c r="BN210" s="285"/>
      <c r="BO210" s="285"/>
      <c r="BP210" s="285"/>
      <c r="BQ210" s="285"/>
      <c r="BR210" s="285"/>
      <c r="BS210" s="285"/>
      <c r="BT210" s="285"/>
      <c r="BU210" s="285"/>
      <c r="BV210" s="285"/>
    </row>
    <row r="211" spans="2:74" s="440" customFormat="1" ht="15" customHeight="1" x14ac:dyDescent="0.2">
      <c r="B211" s="443" t="s">
        <v>7</v>
      </c>
      <c r="C211" s="441" t="s">
        <v>27</v>
      </c>
      <c r="D211" s="441" t="s">
        <v>8</v>
      </c>
      <c r="E211" s="441" t="s">
        <v>8</v>
      </c>
      <c r="F211" s="441" t="s">
        <v>11</v>
      </c>
      <c r="G211" s="504" t="s">
        <v>14</v>
      </c>
      <c r="H211" s="504" t="s">
        <v>31</v>
      </c>
      <c r="I211" s="441"/>
      <c r="J211" s="454"/>
      <c r="K211" s="443"/>
      <c r="L211" s="464" t="s">
        <v>465</v>
      </c>
      <c r="M211" s="133"/>
      <c r="N211" s="133"/>
      <c r="O211" s="156"/>
      <c r="P211" s="156"/>
      <c r="Q211" s="434">
        <v>24000000</v>
      </c>
      <c r="R211" s="5">
        <f>SUM(R212:R212)</f>
        <v>24830000</v>
      </c>
      <c r="S211" s="452"/>
      <c r="T211" s="442"/>
      <c r="U211" s="460"/>
      <c r="V211" s="497">
        <f>SUM(V212:V212)</f>
        <v>0</v>
      </c>
      <c r="W211" s="497">
        <f>SUM(W212:W212)</f>
        <v>0</v>
      </c>
      <c r="X211" s="498">
        <f>SUM(X212:X212)</f>
        <v>0</v>
      </c>
      <c r="Y211" s="498">
        <f>SUM(Y212:Y212)</f>
        <v>0</v>
      </c>
      <c r="Z211" s="498">
        <f>SUM(Z212:Z212)</f>
        <v>0</v>
      </c>
      <c r="AA211" s="498">
        <f t="shared" si="143"/>
        <v>0</v>
      </c>
      <c r="AB211" s="498">
        <f t="shared" si="143"/>
        <v>29830000</v>
      </c>
      <c r="AC211" s="498">
        <f t="shared" si="143"/>
        <v>0</v>
      </c>
      <c r="AD211" s="498">
        <f t="shared" si="143"/>
        <v>0</v>
      </c>
      <c r="AE211" s="498">
        <f t="shared" si="143"/>
        <v>0</v>
      </c>
      <c r="AF211" s="498">
        <f t="shared" si="143"/>
        <v>0</v>
      </c>
      <c r="AG211" s="498">
        <f t="shared" si="143"/>
        <v>0</v>
      </c>
      <c r="AH211" s="501">
        <f t="shared" si="142"/>
        <v>29830000</v>
      </c>
      <c r="AI211" s="535"/>
      <c r="AJ211" s="535"/>
      <c r="AK211" s="536"/>
      <c r="AL211" s="536"/>
      <c r="AM211" s="536"/>
      <c r="AN211" s="527"/>
      <c r="AO211" s="527"/>
      <c r="AP211" s="527"/>
      <c r="AR211" s="285"/>
      <c r="AS211" s="285"/>
      <c r="AT211" s="285"/>
      <c r="AU211" s="285"/>
      <c r="AV211" s="285"/>
      <c r="AW211" s="285"/>
      <c r="AX211" s="285"/>
      <c r="AY211" s="285"/>
      <c r="AZ211" s="285"/>
      <c r="BA211" s="285"/>
      <c r="BB211" s="285"/>
      <c r="BC211" s="285"/>
      <c r="BD211" s="285"/>
      <c r="BE211" s="285"/>
      <c r="BF211" s="285"/>
      <c r="BG211" s="285"/>
      <c r="BH211" s="285"/>
      <c r="BI211" s="285"/>
      <c r="BJ211" s="285"/>
      <c r="BK211" s="285"/>
      <c r="BL211" s="285"/>
      <c r="BM211" s="285"/>
      <c r="BN211" s="285"/>
      <c r="BO211" s="285"/>
      <c r="BP211" s="285"/>
      <c r="BQ211" s="285"/>
      <c r="BR211" s="285"/>
      <c r="BS211" s="285"/>
      <c r="BT211" s="285"/>
      <c r="BU211" s="285"/>
      <c r="BV211" s="285"/>
    </row>
    <row r="212" spans="2:74" s="440" customFormat="1" ht="47.25" customHeight="1" x14ac:dyDescent="0.2">
      <c r="B212" s="502"/>
      <c r="C212" s="503"/>
      <c r="D212" s="503"/>
      <c r="E212" s="503"/>
      <c r="F212" s="503"/>
      <c r="G212" s="503"/>
      <c r="H212" s="503"/>
      <c r="I212" s="503"/>
      <c r="J212" s="503"/>
      <c r="K212" s="447">
        <v>47121700</v>
      </c>
      <c r="L212" s="451" t="s">
        <v>499</v>
      </c>
      <c r="M212" s="134">
        <v>44272</v>
      </c>
      <c r="N212" s="134" t="s">
        <v>574</v>
      </c>
      <c r="O212" s="157" t="s">
        <v>500</v>
      </c>
      <c r="P212" s="157" t="s">
        <v>489</v>
      </c>
      <c r="Q212" s="434"/>
      <c r="R212" s="101">
        <f>29830000-5000000</f>
        <v>24830000</v>
      </c>
      <c r="S212" s="453" t="s">
        <v>386</v>
      </c>
      <c r="T212" s="449"/>
      <c r="U212" s="461" t="s">
        <v>466</v>
      </c>
      <c r="V212" s="497"/>
      <c r="W212" s="497"/>
      <c r="X212" s="498"/>
      <c r="Y212" s="498"/>
      <c r="Z212" s="498"/>
      <c r="AA212" s="498"/>
      <c r="AB212" s="498">
        <v>29830000</v>
      </c>
      <c r="AC212" s="498"/>
      <c r="AD212" s="498"/>
      <c r="AE212" s="498"/>
      <c r="AF212" s="498"/>
      <c r="AG212" s="498"/>
      <c r="AH212" s="501">
        <f t="shared" si="142"/>
        <v>29830000</v>
      </c>
      <c r="AI212" s="535">
        <v>34721</v>
      </c>
      <c r="AJ212" s="538">
        <v>44299</v>
      </c>
      <c r="AK212" s="536">
        <v>29830000</v>
      </c>
      <c r="AL212" s="536">
        <v>24205790</v>
      </c>
      <c r="AM212" s="536">
        <v>24205790</v>
      </c>
      <c r="AN212" s="532">
        <f>+R212-AL212</f>
        <v>624210</v>
      </c>
      <c r="AO212" s="532">
        <f>+AL212-AM212</f>
        <v>0</v>
      </c>
      <c r="AP212" s="533">
        <f>R212-AL212+AO212</f>
        <v>624210</v>
      </c>
      <c r="AR212" s="285"/>
      <c r="AS212" s="285"/>
      <c r="AT212" s="285"/>
      <c r="AU212" s="285"/>
      <c r="AV212" s="285"/>
      <c r="AW212" s="285"/>
      <c r="AX212" s="285"/>
      <c r="AY212" s="285"/>
      <c r="AZ212" s="285"/>
      <c r="BA212" s="285"/>
      <c r="BB212" s="285"/>
      <c r="BC212" s="285"/>
      <c r="BD212" s="285"/>
      <c r="BE212" s="285"/>
      <c r="BF212" s="285"/>
      <c r="BG212" s="285"/>
      <c r="BH212" s="285"/>
      <c r="BI212" s="285"/>
      <c r="BJ212" s="285"/>
      <c r="BK212" s="285"/>
      <c r="BL212" s="285"/>
      <c r="BM212" s="285"/>
      <c r="BN212" s="285"/>
      <c r="BO212" s="285"/>
      <c r="BP212" s="285"/>
      <c r="BQ212" s="285"/>
      <c r="BR212" s="285"/>
      <c r="BS212" s="285"/>
      <c r="BT212" s="285"/>
      <c r="BU212" s="285"/>
      <c r="BV212" s="285"/>
    </row>
    <row r="213" spans="2:74" ht="38.25" customHeight="1" x14ac:dyDescent="0.2">
      <c r="B213" s="31" t="s">
        <v>7</v>
      </c>
      <c r="C213" s="32" t="s">
        <v>27</v>
      </c>
      <c r="D213" s="32" t="s">
        <v>8</v>
      </c>
      <c r="E213" s="32" t="s">
        <v>8</v>
      </c>
      <c r="F213" s="32" t="s">
        <v>11</v>
      </c>
      <c r="G213" s="32" t="s">
        <v>15</v>
      </c>
      <c r="H213" s="32"/>
      <c r="I213" s="32"/>
      <c r="J213" s="202"/>
      <c r="K213" s="31"/>
      <c r="L213" s="416" t="s">
        <v>71</v>
      </c>
      <c r="M213" s="141"/>
      <c r="N213" s="141"/>
      <c r="O213" s="164"/>
      <c r="P213" s="164"/>
      <c r="Q213" s="434">
        <f>SUM(Q214:Q214)</f>
        <v>370000000</v>
      </c>
      <c r="R213" s="34">
        <f>SUM(R214:R214)</f>
        <v>340670000</v>
      </c>
      <c r="S213" s="235"/>
      <c r="T213" s="35"/>
      <c r="U213" s="261"/>
      <c r="V213" s="497">
        <f t="shared" ref="V213:Z214" si="145">SUM(V214:V214)</f>
        <v>0</v>
      </c>
      <c r="W213" s="497">
        <f t="shared" si="145"/>
        <v>0</v>
      </c>
      <c r="X213" s="498">
        <f t="shared" si="145"/>
        <v>0</v>
      </c>
      <c r="Y213" s="498">
        <f t="shared" si="145"/>
        <v>85000000</v>
      </c>
      <c r="Z213" s="498">
        <f t="shared" si="145"/>
        <v>0</v>
      </c>
      <c r="AA213" s="498">
        <f t="shared" ref="AA213:AG214" si="146">SUM(AA214:AA214)</f>
        <v>0</v>
      </c>
      <c r="AB213" s="498">
        <f t="shared" si="146"/>
        <v>85000000</v>
      </c>
      <c r="AC213" s="498">
        <f t="shared" si="146"/>
        <v>0</v>
      </c>
      <c r="AD213" s="498">
        <f t="shared" si="146"/>
        <v>0</v>
      </c>
      <c r="AE213" s="498">
        <f t="shared" si="146"/>
        <v>85000000</v>
      </c>
      <c r="AF213" s="498">
        <f t="shared" si="146"/>
        <v>0</v>
      </c>
      <c r="AG213" s="498">
        <f t="shared" si="146"/>
        <v>85670000</v>
      </c>
      <c r="AH213" s="501">
        <f t="shared" si="126"/>
        <v>340670000</v>
      </c>
      <c r="AI213" s="535"/>
      <c r="AJ213" s="535"/>
      <c r="AK213" s="536"/>
      <c r="AL213" s="536"/>
      <c r="AM213" s="536"/>
      <c r="AQ213" s="440"/>
      <c r="AR213" s="285"/>
      <c r="AS213" s="285"/>
      <c r="AT213" s="285"/>
      <c r="AU213" s="285"/>
      <c r="AV213" s="285"/>
      <c r="AW213" s="285"/>
      <c r="AX213" s="285"/>
      <c r="AY213" s="285"/>
      <c r="AZ213" s="285"/>
      <c r="BA213" s="285"/>
      <c r="BB213" s="285"/>
      <c r="BC213" s="285"/>
      <c r="BD213" s="285"/>
      <c r="BE213" s="285"/>
      <c r="BF213" s="285"/>
      <c r="BG213" s="285"/>
      <c r="BH213" s="285"/>
      <c r="BI213" s="285"/>
      <c r="BJ213" s="285"/>
      <c r="BK213" s="285"/>
      <c r="BL213" s="285"/>
      <c r="BM213" s="285"/>
      <c r="BN213" s="285"/>
      <c r="BO213" s="285"/>
      <c r="BP213" s="285"/>
      <c r="BQ213" s="285"/>
      <c r="BR213" s="285"/>
      <c r="BS213" s="285"/>
      <c r="BT213" s="285"/>
      <c r="BU213" s="285"/>
      <c r="BV213" s="285"/>
    </row>
    <row r="214" spans="2:74" ht="15" customHeight="1" x14ac:dyDescent="0.2">
      <c r="B214" s="397" t="s">
        <v>7</v>
      </c>
      <c r="C214" s="395" t="s">
        <v>27</v>
      </c>
      <c r="D214" s="395" t="s">
        <v>8</v>
      </c>
      <c r="E214" s="395" t="s">
        <v>8</v>
      </c>
      <c r="F214" s="395" t="s">
        <v>11</v>
      </c>
      <c r="G214" s="395" t="s">
        <v>15</v>
      </c>
      <c r="H214" s="395" t="s">
        <v>8</v>
      </c>
      <c r="I214" s="395"/>
      <c r="J214" s="405"/>
      <c r="K214" s="397"/>
      <c r="L214" s="404" t="s">
        <v>72</v>
      </c>
      <c r="M214" s="133"/>
      <c r="N214" s="133"/>
      <c r="O214" s="156"/>
      <c r="P214" s="156"/>
      <c r="Q214" s="434">
        <f>100000000+270000000</f>
        <v>370000000</v>
      </c>
      <c r="R214" s="5">
        <f>SUM(R215:R215)</f>
        <v>340670000</v>
      </c>
      <c r="S214" s="181"/>
      <c r="T214" s="396"/>
      <c r="U214" s="245"/>
      <c r="V214" s="497">
        <f t="shared" si="145"/>
        <v>0</v>
      </c>
      <c r="W214" s="497">
        <f t="shared" si="145"/>
        <v>0</v>
      </c>
      <c r="X214" s="498">
        <f t="shared" si="145"/>
        <v>0</v>
      </c>
      <c r="Y214" s="498">
        <f t="shared" si="145"/>
        <v>85000000</v>
      </c>
      <c r="Z214" s="498">
        <f t="shared" si="145"/>
        <v>0</v>
      </c>
      <c r="AA214" s="498">
        <f t="shared" si="146"/>
        <v>0</v>
      </c>
      <c r="AB214" s="498">
        <f t="shared" si="146"/>
        <v>85000000</v>
      </c>
      <c r="AC214" s="498">
        <f t="shared" si="146"/>
        <v>0</v>
      </c>
      <c r="AD214" s="498">
        <f t="shared" si="146"/>
        <v>0</v>
      </c>
      <c r="AE214" s="498">
        <f t="shared" si="146"/>
        <v>85000000</v>
      </c>
      <c r="AF214" s="498">
        <f t="shared" si="146"/>
        <v>0</v>
      </c>
      <c r="AG214" s="498">
        <f t="shared" si="146"/>
        <v>85670000</v>
      </c>
      <c r="AH214" s="501">
        <f t="shared" si="126"/>
        <v>340670000</v>
      </c>
      <c r="AI214" s="535"/>
      <c r="AJ214" s="535"/>
      <c r="AK214" s="536"/>
      <c r="AL214" s="536"/>
      <c r="AM214" s="536"/>
      <c r="AQ214" s="440"/>
      <c r="AR214" s="285"/>
      <c r="AS214" s="285"/>
      <c r="AT214" s="285"/>
      <c r="AU214" s="285"/>
      <c r="AV214" s="285"/>
      <c r="AW214" s="285"/>
      <c r="AX214" s="285"/>
      <c r="AY214" s="285"/>
      <c r="AZ214" s="285"/>
      <c r="BA214" s="285"/>
      <c r="BB214" s="285"/>
      <c r="BC214" s="285"/>
      <c r="BD214" s="285"/>
      <c r="BE214" s="285"/>
      <c r="BF214" s="285"/>
      <c r="BG214" s="285"/>
      <c r="BH214" s="285"/>
      <c r="BI214" s="285"/>
      <c r="BJ214" s="285"/>
      <c r="BK214" s="285"/>
      <c r="BL214" s="285"/>
      <c r="BM214" s="285"/>
      <c r="BN214" s="285"/>
      <c r="BO214" s="285"/>
      <c r="BP214" s="285"/>
      <c r="BQ214" s="285"/>
      <c r="BR214" s="285"/>
      <c r="BS214" s="285"/>
      <c r="BT214" s="285"/>
      <c r="BU214" s="285"/>
      <c r="BV214" s="285"/>
    </row>
    <row r="215" spans="2:74" ht="60" customHeight="1" x14ac:dyDescent="0.2">
      <c r="B215" s="679"/>
      <c r="C215" s="680"/>
      <c r="D215" s="680"/>
      <c r="E215" s="680"/>
      <c r="F215" s="680"/>
      <c r="G215" s="680"/>
      <c r="H215" s="680"/>
      <c r="I215" s="680"/>
      <c r="J215" s="681"/>
      <c r="K215" s="177" t="s">
        <v>325</v>
      </c>
      <c r="L215" s="400" t="s">
        <v>517</v>
      </c>
      <c r="M215" s="134">
        <v>44242</v>
      </c>
      <c r="N215" s="134" t="s">
        <v>539</v>
      </c>
      <c r="O215" s="157" t="s">
        <v>362</v>
      </c>
      <c r="P215" s="157" t="s">
        <v>317</v>
      </c>
      <c r="Q215" s="434"/>
      <c r="R215" s="101">
        <f>120000000+220670000</f>
        <v>340670000</v>
      </c>
      <c r="S215" s="402" t="s">
        <v>350</v>
      </c>
      <c r="T215" s="399"/>
      <c r="U215" s="253" t="s">
        <v>221</v>
      </c>
      <c r="V215" s="497"/>
      <c r="W215" s="497"/>
      <c r="X215" s="498"/>
      <c r="Y215" s="498">
        <v>85000000</v>
      </c>
      <c r="Z215" s="498"/>
      <c r="AA215" s="498"/>
      <c r="AB215" s="498">
        <v>85000000</v>
      </c>
      <c r="AC215" s="498"/>
      <c r="AD215" s="498"/>
      <c r="AE215" s="498">
        <v>85000000</v>
      </c>
      <c r="AF215" s="498"/>
      <c r="AG215" s="498">
        <v>85670000</v>
      </c>
      <c r="AH215" s="501">
        <f t="shared" si="126"/>
        <v>340670000</v>
      </c>
      <c r="AI215" s="535">
        <v>15221</v>
      </c>
      <c r="AJ215" s="538">
        <v>44239</v>
      </c>
      <c r="AK215" s="536">
        <v>340670000</v>
      </c>
      <c r="AL215" s="536">
        <v>340670000</v>
      </c>
      <c r="AM215" s="536">
        <v>340670000</v>
      </c>
      <c r="AN215" s="532">
        <f>+R215-AL215</f>
        <v>0</v>
      </c>
      <c r="AO215" s="532">
        <f>+AL215-AM215</f>
        <v>0</v>
      </c>
      <c r="AP215" s="532">
        <f>R215-AL215+AO215</f>
        <v>0</v>
      </c>
      <c r="AQ215" s="440"/>
      <c r="AR215" s="285"/>
      <c r="AS215" s="285"/>
      <c r="AT215" s="285"/>
      <c r="AU215" s="285"/>
      <c r="AV215" s="285"/>
      <c r="AW215" s="285"/>
      <c r="AX215" s="285"/>
      <c r="AY215" s="285"/>
      <c r="AZ215" s="285"/>
      <c r="BA215" s="285"/>
      <c r="BB215" s="285"/>
      <c r="BC215" s="285"/>
      <c r="BD215" s="285"/>
      <c r="BE215" s="285"/>
      <c r="BF215" s="285"/>
      <c r="BG215" s="285"/>
      <c r="BH215" s="285"/>
      <c r="BI215" s="285"/>
      <c r="BJ215" s="285"/>
      <c r="BK215" s="285"/>
      <c r="BL215" s="285"/>
      <c r="BM215" s="285"/>
      <c r="BN215" s="285"/>
      <c r="BO215" s="285"/>
      <c r="BP215" s="285"/>
      <c r="BQ215" s="285"/>
      <c r="BR215" s="285"/>
      <c r="BS215" s="285"/>
      <c r="BT215" s="285"/>
      <c r="BU215" s="285"/>
      <c r="BV215" s="285"/>
    </row>
    <row r="216" spans="2:74" ht="15" customHeight="1" x14ac:dyDescent="0.25">
      <c r="B216" s="21" t="s">
        <v>7</v>
      </c>
      <c r="C216" s="22" t="s">
        <v>27</v>
      </c>
      <c r="D216" s="22" t="s">
        <v>8</v>
      </c>
      <c r="E216" s="22" t="s">
        <v>20</v>
      </c>
      <c r="F216" s="22"/>
      <c r="G216" s="22"/>
      <c r="H216" s="22"/>
      <c r="I216" s="22"/>
      <c r="J216" s="201"/>
      <c r="K216" s="21"/>
      <c r="L216" s="472" t="s">
        <v>75</v>
      </c>
      <c r="M216" s="473"/>
      <c r="N216" s="473"/>
      <c r="O216" s="474"/>
      <c r="P216" s="474"/>
      <c r="Q216" s="433">
        <f>+Q217+Q249+Q240</f>
        <v>9086000000</v>
      </c>
      <c r="R216" s="475">
        <f>+R217+R249+R240</f>
        <v>9086000000</v>
      </c>
      <c r="S216" s="479"/>
      <c r="T216" s="477"/>
      <c r="U216" s="478">
        <f>+Q216-R216</f>
        <v>0</v>
      </c>
      <c r="V216" s="495">
        <f t="shared" ref="V216:AG216" si="147">+V217+V249+V240</f>
        <v>133183696</v>
      </c>
      <c r="W216" s="495">
        <f t="shared" si="147"/>
        <v>470284047.30434781</v>
      </c>
      <c r="X216" s="495">
        <f t="shared" si="147"/>
        <v>628017391.30434787</v>
      </c>
      <c r="Y216" s="495">
        <f t="shared" si="147"/>
        <v>236417391.30434781</v>
      </c>
      <c r="Z216" s="495">
        <f t="shared" si="147"/>
        <v>590617391.30434787</v>
      </c>
      <c r="AA216" s="495">
        <f t="shared" si="147"/>
        <v>217717391.30434781</v>
      </c>
      <c r="AB216" s="495">
        <f t="shared" si="147"/>
        <v>1089950724.6376812</v>
      </c>
      <c r="AC216" s="495">
        <f t="shared" si="147"/>
        <v>294384057.9710145</v>
      </c>
      <c r="AD216" s="495">
        <f t="shared" si="147"/>
        <v>1426125724.6376812</v>
      </c>
      <c r="AE216" s="495">
        <f t="shared" si="147"/>
        <v>1144484057.9710145</v>
      </c>
      <c r="AF216" s="495">
        <f t="shared" si="147"/>
        <v>1545555724.6376812</v>
      </c>
      <c r="AG216" s="495">
        <f t="shared" si="147"/>
        <v>1518859057.9710145</v>
      </c>
      <c r="AH216" s="500">
        <f t="shared" si="126"/>
        <v>9295596656.347826</v>
      </c>
      <c r="AI216" s="535"/>
      <c r="AJ216" s="535"/>
      <c r="AK216" s="536"/>
      <c r="AL216" s="536"/>
      <c r="AM216" s="536"/>
      <c r="AQ216" s="440"/>
      <c r="AR216" s="285"/>
      <c r="AS216" s="285"/>
      <c r="AT216" s="285"/>
      <c r="AU216" s="285"/>
      <c r="AV216" s="285"/>
      <c r="AW216" s="285"/>
      <c r="AX216" s="285"/>
      <c r="AY216" s="285"/>
      <c r="AZ216" s="285"/>
      <c r="BA216" s="285"/>
      <c r="BB216" s="285"/>
      <c r="BC216" s="285"/>
      <c r="BD216" s="285"/>
      <c r="BE216" s="285"/>
      <c r="BF216" s="285"/>
      <c r="BG216" s="285"/>
      <c r="BH216" s="285"/>
      <c r="BI216" s="285"/>
      <c r="BJ216" s="285"/>
      <c r="BK216" s="285"/>
      <c r="BL216" s="285"/>
      <c r="BM216" s="285"/>
      <c r="BN216" s="285"/>
      <c r="BO216" s="285"/>
      <c r="BP216" s="285"/>
      <c r="BQ216" s="285"/>
      <c r="BR216" s="285"/>
      <c r="BS216" s="285"/>
      <c r="BT216" s="285"/>
      <c r="BU216" s="285"/>
      <c r="BV216" s="285"/>
    </row>
    <row r="217" spans="2:74" ht="15" customHeight="1" x14ac:dyDescent="0.2">
      <c r="B217" s="13" t="s">
        <v>7</v>
      </c>
      <c r="C217" s="14" t="s">
        <v>27</v>
      </c>
      <c r="D217" s="14" t="s">
        <v>8</v>
      </c>
      <c r="E217" s="14" t="s">
        <v>20</v>
      </c>
      <c r="F217" s="14" t="s">
        <v>13</v>
      </c>
      <c r="G217" s="14"/>
      <c r="H217" s="14"/>
      <c r="I217" s="14"/>
      <c r="J217" s="195"/>
      <c r="K217" s="13"/>
      <c r="L217" s="411" t="s">
        <v>76</v>
      </c>
      <c r="M217" s="131"/>
      <c r="N217" s="131"/>
      <c r="O217" s="154"/>
      <c r="P217" s="154"/>
      <c r="Q217" s="434">
        <f>+Q218</f>
        <v>6803000000</v>
      </c>
      <c r="R217" s="16">
        <f>+R218</f>
        <v>7286000000</v>
      </c>
      <c r="S217" s="218"/>
      <c r="T217" s="17"/>
      <c r="U217" s="252"/>
      <c r="V217" s="497">
        <f>+V218</f>
        <v>62475000</v>
      </c>
      <c r="W217" s="497">
        <f>+W218</f>
        <v>340116656</v>
      </c>
      <c r="X217" s="498">
        <f>+X218</f>
        <v>497850000</v>
      </c>
      <c r="Y217" s="498">
        <f>+Y218</f>
        <v>106250000</v>
      </c>
      <c r="Z217" s="498">
        <f>+Z218</f>
        <v>460450000</v>
      </c>
      <c r="AA217" s="498">
        <f t="shared" ref="AA217:AG217" si="148">+AA218</f>
        <v>87550000</v>
      </c>
      <c r="AB217" s="498">
        <f t="shared" si="148"/>
        <v>940450000.00000012</v>
      </c>
      <c r="AC217" s="498">
        <f t="shared" si="148"/>
        <v>107550000</v>
      </c>
      <c r="AD217" s="498">
        <f t="shared" si="148"/>
        <v>1280625000</v>
      </c>
      <c r="AE217" s="498">
        <f t="shared" si="148"/>
        <v>959500000</v>
      </c>
      <c r="AF217" s="498">
        <f t="shared" si="148"/>
        <v>1403755000</v>
      </c>
      <c r="AG217" s="498">
        <f t="shared" si="148"/>
        <v>1335725000</v>
      </c>
      <c r="AH217" s="501">
        <f t="shared" si="126"/>
        <v>7582296656</v>
      </c>
      <c r="AI217" s="535"/>
      <c r="AJ217" s="535"/>
      <c r="AK217" s="536"/>
      <c r="AL217" s="536"/>
      <c r="AM217" s="536"/>
      <c r="AQ217" s="440"/>
      <c r="AR217" s="285"/>
      <c r="AS217" s="285"/>
      <c r="AT217" s="285"/>
      <c r="AU217" s="285"/>
      <c r="AV217" s="285"/>
      <c r="AW217" s="285"/>
      <c r="AX217" s="285"/>
      <c r="AY217" s="285"/>
      <c r="AZ217" s="285"/>
      <c r="BA217" s="285"/>
      <c r="BB217" s="285"/>
      <c r="BC217" s="285"/>
      <c r="BD217" s="285"/>
      <c r="BE217" s="285"/>
      <c r="BF217" s="285"/>
      <c r="BG217" s="285"/>
      <c r="BH217" s="285"/>
      <c r="BI217" s="285"/>
      <c r="BJ217" s="285"/>
      <c r="BK217" s="285"/>
      <c r="BL217" s="285"/>
      <c r="BM217" s="285"/>
      <c r="BN217" s="285"/>
      <c r="BO217" s="285"/>
      <c r="BP217" s="285"/>
      <c r="BQ217" s="285"/>
      <c r="BR217" s="285"/>
      <c r="BS217" s="285"/>
      <c r="BT217" s="285"/>
      <c r="BU217" s="285"/>
      <c r="BV217" s="285"/>
    </row>
    <row r="218" spans="2:74" ht="57" customHeight="1" x14ac:dyDescent="0.2">
      <c r="B218" s="31" t="s">
        <v>7</v>
      </c>
      <c r="C218" s="32" t="s">
        <v>27</v>
      </c>
      <c r="D218" s="32" t="s">
        <v>8</v>
      </c>
      <c r="E218" s="32" t="s">
        <v>20</v>
      </c>
      <c r="F218" s="32" t="s">
        <v>13</v>
      </c>
      <c r="G218" s="32" t="s">
        <v>12</v>
      </c>
      <c r="H218" s="32"/>
      <c r="I218" s="32"/>
      <c r="J218" s="202"/>
      <c r="K218" s="31"/>
      <c r="L218" s="506" t="s">
        <v>584</v>
      </c>
      <c r="M218" s="141"/>
      <c r="N218" s="141"/>
      <c r="O218" s="164"/>
      <c r="P218" s="164"/>
      <c r="Q218" s="434">
        <f>+Q219+Q231+Q234</f>
        <v>6803000000</v>
      </c>
      <c r="R218" s="34">
        <f>+R219+R231+R234</f>
        <v>7286000000</v>
      </c>
      <c r="S218" s="235"/>
      <c r="T218" s="35"/>
      <c r="U218" s="261"/>
      <c r="V218" s="497">
        <f t="shared" ref="V218:AG218" si="149">+V219+V231+V234</f>
        <v>62475000</v>
      </c>
      <c r="W218" s="497">
        <f t="shared" si="149"/>
        <v>340116656</v>
      </c>
      <c r="X218" s="498">
        <f t="shared" si="149"/>
        <v>497850000</v>
      </c>
      <c r="Y218" s="498">
        <f t="shared" si="149"/>
        <v>106250000</v>
      </c>
      <c r="Z218" s="498">
        <f t="shared" si="149"/>
        <v>460450000</v>
      </c>
      <c r="AA218" s="498">
        <f t="shared" si="149"/>
        <v>87550000</v>
      </c>
      <c r="AB218" s="498">
        <f t="shared" si="149"/>
        <v>940450000.00000012</v>
      </c>
      <c r="AC218" s="498">
        <f t="shared" si="149"/>
        <v>107550000</v>
      </c>
      <c r="AD218" s="498">
        <f t="shared" si="149"/>
        <v>1280625000</v>
      </c>
      <c r="AE218" s="498">
        <f t="shared" si="149"/>
        <v>959500000</v>
      </c>
      <c r="AF218" s="498">
        <f t="shared" si="149"/>
        <v>1403755000</v>
      </c>
      <c r="AG218" s="498">
        <f t="shared" si="149"/>
        <v>1335725000</v>
      </c>
      <c r="AH218" s="501">
        <f t="shared" si="126"/>
        <v>7582296656</v>
      </c>
      <c r="AI218" s="535"/>
      <c r="AJ218" s="535"/>
      <c r="AK218" s="536"/>
      <c r="AL218" s="536"/>
      <c r="AM218" s="536"/>
      <c r="AQ218" s="440"/>
      <c r="AR218" s="285"/>
      <c r="AS218" s="285"/>
      <c r="AT218" s="285"/>
      <c r="AU218" s="285"/>
      <c r="AV218" s="285"/>
      <c r="AW218" s="285"/>
      <c r="AX218" s="285"/>
      <c r="AY218" s="285"/>
      <c r="AZ218" s="285"/>
      <c r="BA218" s="285"/>
      <c r="BB218" s="285"/>
      <c r="BC218" s="285"/>
      <c r="BD218" s="285"/>
      <c r="BE218" s="285"/>
      <c r="BF218" s="285"/>
      <c r="BG218" s="285"/>
      <c r="BH218" s="285"/>
      <c r="BI218" s="285"/>
      <c r="BJ218" s="285"/>
      <c r="BK218" s="285"/>
      <c r="BL218" s="285"/>
      <c r="BM218" s="285"/>
      <c r="BN218" s="285"/>
      <c r="BO218" s="285"/>
      <c r="BP218" s="285"/>
      <c r="BQ218" s="285"/>
      <c r="BR218" s="285"/>
      <c r="BS218" s="285"/>
      <c r="BT218" s="285"/>
      <c r="BU218" s="285"/>
      <c r="BV218" s="285"/>
    </row>
    <row r="219" spans="2:74" ht="15" customHeight="1" x14ac:dyDescent="0.2">
      <c r="B219" s="397" t="s">
        <v>7</v>
      </c>
      <c r="C219" s="395" t="s">
        <v>27</v>
      </c>
      <c r="D219" s="395" t="s">
        <v>8</v>
      </c>
      <c r="E219" s="395" t="s">
        <v>20</v>
      </c>
      <c r="F219" s="395" t="s">
        <v>13</v>
      </c>
      <c r="G219" s="395" t="s">
        <v>12</v>
      </c>
      <c r="H219" s="395" t="s">
        <v>27</v>
      </c>
      <c r="I219" s="395"/>
      <c r="J219" s="405"/>
      <c r="K219" s="397"/>
      <c r="L219" s="404" t="s">
        <v>78</v>
      </c>
      <c r="M219" s="133"/>
      <c r="N219" s="133"/>
      <c r="O219" s="156"/>
      <c r="P219" s="156"/>
      <c r="Q219" s="434">
        <f>4489000000+1000000000</f>
        <v>5489000000</v>
      </c>
      <c r="R219" s="5">
        <f>SUM(R220:R230)</f>
        <v>6147450000</v>
      </c>
      <c r="S219" s="403"/>
      <c r="T219" s="466"/>
      <c r="U219" s="245"/>
      <c r="V219" s="497">
        <f t="shared" ref="V219:AG219" si="150">SUM(V220:V230)</f>
        <v>0</v>
      </c>
      <c r="W219" s="497">
        <f t="shared" si="150"/>
        <v>215166656</v>
      </c>
      <c r="X219" s="497">
        <f t="shared" si="150"/>
        <v>372900000</v>
      </c>
      <c r="Y219" s="497">
        <f t="shared" si="150"/>
        <v>0</v>
      </c>
      <c r="Z219" s="497">
        <f t="shared" si="150"/>
        <v>372900000</v>
      </c>
      <c r="AA219" s="497">
        <f t="shared" si="150"/>
        <v>0</v>
      </c>
      <c r="AB219" s="497">
        <f t="shared" si="150"/>
        <v>852900000.00000012</v>
      </c>
      <c r="AC219" s="497">
        <f t="shared" si="150"/>
        <v>0</v>
      </c>
      <c r="AD219" s="497">
        <f t="shared" si="150"/>
        <v>1193075000</v>
      </c>
      <c r="AE219" s="497">
        <f t="shared" si="150"/>
        <v>871950000</v>
      </c>
      <c r="AF219" s="497">
        <f t="shared" si="150"/>
        <v>1316205000</v>
      </c>
      <c r="AG219" s="497">
        <f t="shared" si="150"/>
        <v>1271950000</v>
      </c>
      <c r="AH219" s="501">
        <f>SUM(V219:AG219)</f>
        <v>6467046656</v>
      </c>
      <c r="AI219" s="535"/>
      <c r="AJ219" s="535"/>
      <c r="AK219" s="536"/>
      <c r="AL219" s="536"/>
      <c r="AM219" s="536"/>
      <c r="AQ219" s="440"/>
      <c r="AR219" s="285"/>
      <c r="AS219" s="285"/>
      <c r="AT219" s="285"/>
      <c r="AU219" s="285"/>
      <c r="AV219" s="285"/>
      <c r="AW219" s="285"/>
      <c r="AX219" s="285"/>
      <c r="AY219" s="285"/>
      <c r="AZ219" s="285"/>
      <c r="BA219" s="285"/>
      <c r="BB219" s="285"/>
      <c r="BC219" s="285"/>
      <c r="BD219" s="285"/>
      <c r="BE219" s="285"/>
      <c r="BF219" s="285"/>
      <c r="BG219" s="285"/>
      <c r="BH219" s="285"/>
      <c r="BI219" s="285"/>
      <c r="BJ219" s="285"/>
      <c r="BK219" s="285"/>
      <c r="BL219" s="285"/>
      <c r="BM219" s="285"/>
      <c r="BN219" s="285"/>
      <c r="BO219" s="285"/>
      <c r="BP219" s="285"/>
      <c r="BQ219" s="285"/>
      <c r="BR219" s="285"/>
      <c r="BS219" s="285"/>
      <c r="BT219" s="285"/>
      <c r="BU219" s="285"/>
      <c r="BV219" s="285"/>
    </row>
    <row r="220" spans="2:74" ht="71.25" customHeight="1" x14ac:dyDescent="0.2">
      <c r="B220" s="677"/>
      <c r="C220" s="678"/>
      <c r="D220" s="678"/>
      <c r="E220" s="678"/>
      <c r="F220" s="678"/>
      <c r="G220" s="678"/>
      <c r="H220" s="678"/>
      <c r="I220" s="678"/>
      <c r="J220" s="678"/>
      <c r="K220" s="450" t="s">
        <v>335</v>
      </c>
      <c r="L220" s="451" t="s">
        <v>199</v>
      </c>
      <c r="M220" s="134">
        <v>44287</v>
      </c>
      <c r="N220" s="134" t="s">
        <v>573</v>
      </c>
      <c r="O220" s="157" t="s">
        <v>311</v>
      </c>
      <c r="P220" s="157" t="s">
        <v>336</v>
      </c>
      <c r="Q220" s="101"/>
      <c r="R220" s="101">
        <f>2480370000+261450000-42000000-93000000-220670000+587900000+390000000+215166656-26000000-57000000</f>
        <v>3496216656</v>
      </c>
      <c r="S220" s="402" t="s">
        <v>350</v>
      </c>
      <c r="T220" s="399"/>
      <c r="U220" s="253" t="s">
        <v>221</v>
      </c>
      <c r="V220" s="497"/>
      <c r="W220" s="497"/>
      <c r="X220" s="498"/>
      <c r="Y220" s="498"/>
      <c r="Z220" s="498"/>
      <c r="AA220" s="498"/>
      <c r="AB220" s="498"/>
      <c r="AC220" s="498"/>
      <c r="AD220" s="498">
        <v>1193075000</v>
      </c>
      <c r="AE220" s="498"/>
      <c r="AF220" s="498">
        <v>1193075000</v>
      </c>
      <c r="AG220" s="498"/>
      <c r="AH220" s="501">
        <f t="shared" si="126"/>
        <v>2386150000</v>
      </c>
      <c r="AI220" s="535">
        <v>26121</v>
      </c>
      <c r="AJ220" s="538">
        <v>44267</v>
      </c>
      <c r="AK220" s="536">
        <v>2974050000</v>
      </c>
      <c r="AL220" s="536">
        <v>2974029954.27</v>
      </c>
      <c r="AM220" s="536">
        <v>2974029954.2699995</v>
      </c>
      <c r="AN220" s="532">
        <f>+R220-AL220</f>
        <v>522186701.73000002</v>
      </c>
      <c r="AO220" s="532">
        <f>+AL220-AM220</f>
        <v>0</v>
      </c>
      <c r="AP220" s="533">
        <f>R220-AL220+AO220</f>
        <v>522186701.73000002</v>
      </c>
      <c r="AQ220" s="440"/>
      <c r="AR220" s="285"/>
      <c r="AS220" s="285"/>
      <c r="AT220" s="285"/>
      <c r="AU220" s="285"/>
      <c r="AV220" s="285"/>
      <c r="AW220" s="285"/>
      <c r="AX220" s="285"/>
      <c r="AY220" s="285"/>
      <c r="AZ220" s="285"/>
      <c r="BA220" s="285"/>
      <c r="BB220" s="285"/>
      <c r="BC220" s="285"/>
      <c r="BD220" s="285"/>
      <c r="BE220" s="285"/>
      <c r="BF220" s="285"/>
      <c r="BG220" s="285"/>
      <c r="BH220" s="285"/>
      <c r="BI220" s="285"/>
      <c r="BJ220" s="285"/>
      <c r="BK220" s="285"/>
      <c r="BL220" s="285"/>
      <c r="BM220" s="285"/>
      <c r="BN220" s="285"/>
      <c r="BO220" s="285"/>
      <c r="BP220" s="285"/>
      <c r="BQ220" s="285"/>
      <c r="BR220" s="285"/>
      <c r="BS220" s="285"/>
      <c r="BT220" s="285"/>
      <c r="BU220" s="285"/>
      <c r="BV220" s="285"/>
    </row>
    <row r="221" spans="2:74" ht="81.75" customHeight="1" x14ac:dyDescent="0.2">
      <c r="B221" s="682"/>
      <c r="C221" s="683"/>
      <c r="D221" s="683"/>
      <c r="E221" s="683"/>
      <c r="F221" s="683"/>
      <c r="G221" s="683"/>
      <c r="H221" s="683"/>
      <c r="I221" s="683"/>
      <c r="J221" s="683"/>
      <c r="K221" s="176" t="s">
        <v>335</v>
      </c>
      <c r="L221" s="401" t="s">
        <v>472</v>
      </c>
      <c r="M221" s="135"/>
      <c r="N221" s="135"/>
      <c r="O221" s="158"/>
      <c r="P221" s="158"/>
      <c r="Q221" s="434"/>
      <c r="R221" s="111">
        <v>938000000</v>
      </c>
      <c r="S221" s="184"/>
      <c r="T221" s="248"/>
      <c r="U221" s="254" t="s">
        <v>221</v>
      </c>
      <c r="V221" s="497"/>
      <c r="W221" s="497"/>
      <c r="X221" s="498">
        <v>312666666.66666669</v>
      </c>
      <c r="Y221" s="498"/>
      <c r="Z221" s="498">
        <v>312666666.66666669</v>
      </c>
      <c r="AA221" s="498"/>
      <c r="AB221" s="498">
        <v>312666666.66666669</v>
      </c>
      <c r="AC221" s="498"/>
      <c r="AD221" s="498"/>
      <c r="AE221" s="498"/>
      <c r="AF221" s="498"/>
      <c r="AG221" s="498"/>
      <c r="AH221" s="501">
        <f t="shared" si="126"/>
        <v>938000000</v>
      </c>
      <c r="AI221" s="721">
        <v>3021</v>
      </c>
      <c r="AJ221" s="665">
        <v>44211</v>
      </c>
      <c r="AK221" s="711">
        <v>1500000000</v>
      </c>
      <c r="AL221" s="711">
        <v>1499874160</v>
      </c>
      <c r="AM221" s="712">
        <v>1499874160</v>
      </c>
      <c r="AN221" s="713">
        <f>+R221+R222-AL221</f>
        <v>125840</v>
      </c>
      <c r="AO221" s="713">
        <f>+AL221-AM221</f>
        <v>0</v>
      </c>
      <c r="AP221" s="715">
        <f>R221+R222-AL221+AO221</f>
        <v>125840</v>
      </c>
      <c r="AQ221" s="440"/>
      <c r="AR221" s="285"/>
      <c r="AS221" s="285"/>
      <c r="AT221" s="285"/>
      <c r="AU221" s="285"/>
      <c r="AV221" s="285"/>
      <c r="AW221" s="285"/>
      <c r="AX221" s="285"/>
      <c r="AY221" s="285"/>
      <c r="AZ221" s="285"/>
      <c r="BA221" s="285"/>
      <c r="BB221" s="285"/>
      <c r="BC221" s="285"/>
      <c r="BD221" s="285"/>
      <c r="BE221" s="285"/>
      <c r="BF221" s="285"/>
      <c r="BG221" s="285"/>
      <c r="BH221" s="285"/>
      <c r="BI221" s="285"/>
      <c r="BJ221" s="285"/>
      <c r="BK221" s="285"/>
      <c r="BL221" s="285"/>
      <c r="BM221" s="285"/>
      <c r="BN221" s="285"/>
      <c r="BO221" s="285"/>
      <c r="BP221" s="285"/>
      <c r="BQ221" s="285"/>
      <c r="BR221" s="285"/>
      <c r="BS221" s="285"/>
      <c r="BT221" s="285"/>
      <c r="BU221" s="285"/>
      <c r="BV221" s="285"/>
    </row>
    <row r="222" spans="2:74" s="440" customFormat="1" ht="82.5" customHeight="1" x14ac:dyDescent="0.2">
      <c r="B222" s="682"/>
      <c r="C222" s="683"/>
      <c r="D222" s="683"/>
      <c r="E222" s="683"/>
      <c r="F222" s="683"/>
      <c r="G222" s="683"/>
      <c r="H222" s="683"/>
      <c r="I222" s="683"/>
      <c r="J222" s="683"/>
      <c r="K222" s="176" t="s">
        <v>335</v>
      </c>
      <c r="L222" s="540" t="s">
        <v>609</v>
      </c>
      <c r="M222" s="135"/>
      <c r="N222" s="135"/>
      <c r="O222" s="158"/>
      <c r="P222" s="158"/>
      <c r="Q222" s="434"/>
      <c r="R222" s="111">
        <f>480000000+82000000</f>
        <v>562000000</v>
      </c>
      <c r="S222" s="184"/>
      <c r="T222" s="248"/>
      <c r="U222" s="254" t="s">
        <v>221</v>
      </c>
      <c r="V222" s="497"/>
      <c r="W222" s="497"/>
      <c r="X222" s="498"/>
      <c r="Y222" s="498"/>
      <c r="Z222" s="498"/>
      <c r="AA222" s="498"/>
      <c r="AB222" s="498">
        <v>480000000</v>
      </c>
      <c r="AC222" s="498"/>
      <c r="AD222" s="498"/>
      <c r="AE222" s="498"/>
      <c r="AF222" s="498"/>
      <c r="AG222" s="498"/>
      <c r="AH222" s="501">
        <f>+AB222</f>
        <v>480000000</v>
      </c>
      <c r="AI222" s="721"/>
      <c r="AJ222" s="665">
        <v>44410</v>
      </c>
      <c r="AK222" s="711"/>
      <c r="AL222" s="711"/>
      <c r="AM222" s="712"/>
      <c r="AN222" s="714"/>
      <c r="AO222" s="714"/>
      <c r="AP222" s="716"/>
      <c r="AR222" s="285"/>
      <c r="AS222" s="285"/>
      <c r="AT222" s="285"/>
      <c r="AU222" s="285"/>
      <c r="AV222" s="285"/>
      <c r="AW222" s="285"/>
      <c r="AX222" s="285"/>
      <c r="AY222" s="285"/>
      <c r="AZ222" s="285"/>
      <c r="BA222" s="285"/>
      <c r="BB222" s="285"/>
      <c r="BC222" s="285"/>
      <c r="BD222" s="285"/>
      <c r="BE222" s="285"/>
      <c r="BF222" s="285"/>
      <c r="BG222" s="285"/>
      <c r="BH222" s="285"/>
      <c r="BI222" s="285"/>
      <c r="BJ222" s="285"/>
      <c r="BK222" s="285"/>
      <c r="BL222" s="285"/>
      <c r="BM222" s="285"/>
      <c r="BN222" s="285"/>
      <c r="BO222" s="285"/>
      <c r="BP222" s="285"/>
      <c r="BQ222" s="285"/>
      <c r="BR222" s="285"/>
      <c r="BS222" s="285"/>
      <c r="BT222" s="285"/>
      <c r="BU222" s="285"/>
      <c r="BV222" s="285"/>
    </row>
    <row r="223" spans="2:74" ht="88.5" customHeight="1" x14ac:dyDescent="0.2">
      <c r="B223" s="682"/>
      <c r="C223" s="683"/>
      <c r="D223" s="683"/>
      <c r="E223" s="683"/>
      <c r="F223" s="683"/>
      <c r="G223" s="683"/>
      <c r="H223" s="683"/>
      <c r="I223" s="683"/>
      <c r="J223" s="683"/>
      <c r="K223" s="553" t="s">
        <v>335</v>
      </c>
      <c r="L223" s="554" t="s">
        <v>473</v>
      </c>
      <c r="M223" s="555">
        <v>44484</v>
      </c>
      <c r="N223" s="555" t="s">
        <v>668</v>
      </c>
      <c r="O223" s="556" t="s">
        <v>675</v>
      </c>
      <c r="P223" s="556" t="s">
        <v>336</v>
      </c>
      <c r="Q223" s="557"/>
      <c r="R223" s="557">
        <v>268000000</v>
      </c>
      <c r="S223" s="558" t="s">
        <v>322</v>
      </c>
      <c r="T223" s="557">
        <v>966140000</v>
      </c>
      <c r="U223" s="253" t="s">
        <v>221</v>
      </c>
      <c r="V223" s="497"/>
      <c r="W223" s="497"/>
      <c r="X223" s="498"/>
      <c r="Y223" s="498"/>
      <c r="Z223" s="498"/>
      <c r="AA223" s="498"/>
      <c r="AB223" s="498"/>
      <c r="AC223" s="498"/>
      <c r="AD223" s="498"/>
      <c r="AE223" s="498">
        <v>335000000</v>
      </c>
      <c r="AF223" s="498"/>
      <c r="AG223" s="498">
        <v>335000000</v>
      </c>
      <c r="AH223" s="501">
        <f t="shared" si="126"/>
        <v>670000000</v>
      </c>
      <c r="AI223" s="661">
        <v>67321</v>
      </c>
      <c r="AJ223" s="538">
        <v>44435</v>
      </c>
      <c r="AK223" s="536">
        <v>268000000</v>
      </c>
      <c r="AL223" s="536">
        <v>268000000</v>
      </c>
      <c r="AM223" s="536">
        <v>267997597</v>
      </c>
      <c r="AN223" s="532">
        <f>+R223-AL223</f>
        <v>0</v>
      </c>
      <c r="AO223" s="532">
        <f>+AL223-AM223</f>
        <v>2403</v>
      </c>
      <c r="AP223" s="533">
        <f t="shared" ref="AP223:AP230" si="151">R223-AL223+AO223</f>
        <v>2403</v>
      </c>
      <c r="AQ223" s="440"/>
      <c r="AR223" s="285"/>
      <c r="AS223" s="285"/>
      <c r="AT223" s="285"/>
      <c r="AU223" s="285"/>
      <c r="AV223" s="285"/>
      <c r="AW223" s="285"/>
      <c r="AX223" s="285"/>
      <c r="AY223" s="285"/>
      <c r="AZ223" s="285"/>
      <c r="BA223" s="285"/>
      <c r="BB223" s="285"/>
      <c r="BC223" s="285"/>
      <c r="BD223" s="285"/>
      <c r="BE223" s="285"/>
      <c r="BF223" s="285"/>
      <c r="BG223" s="285"/>
      <c r="BH223" s="285"/>
      <c r="BI223" s="285"/>
      <c r="BJ223" s="285"/>
      <c r="BK223" s="285"/>
      <c r="BL223" s="285"/>
      <c r="BM223" s="285"/>
      <c r="BN223" s="285"/>
      <c r="BO223" s="285"/>
      <c r="BP223" s="285"/>
      <c r="BQ223" s="285"/>
      <c r="BR223" s="285"/>
      <c r="BS223" s="285"/>
      <c r="BT223" s="285"/>
      <c r="BU223" s="285"/>
      <c r="BV223" s="285"/>
    </row>
    <row r="224" spans="2:74" ht="75" customHeight="1" x14ac:dyDescent="0.2">
      <c r="B224" s="682"/>
      <c r="C224" s="683"/>
      <c r="D224" s="683"/>
      <c r="E224" s="683"/>
      <c r="F224" s="683"/>
      <c r="G224" s="683"/>
      <c r="H224" s="683"/>
      <c r="I224" s="683"/>
      <c r="J224" s="683"/>
      <c r="K224" s="176" t="s">
        <v>315</v>
      </c>
      <c r="L224" s="401" t="s">
        <v>592</v>
      </c>
      <c r="M224" s="135"/>
      <c r="N224" s="135"/>
      <c r="O224" s="158"/>
      <c r="P224" s="158"/>
      <c r="Q224" s="434"/>
      <c r="R224" s="111">
        <f>180700000+8400000+57000000</f>
        <v>246100000</v>
      </c>
      <c r="S224" s="184"/>
      <c r="T224" s="112"/>
      <c r="U224" s="254" t="s">
        <v>221</v>
      </c>
      <c r="V224" s="497"/>
      <c r="W224" s="497"/>
      <c r="X224" s="498">
        <v>60233333.333333336</v>
      </c>
      <c r="Y224" s="498"/>
      <c r="Z224" s="498">
        <v>60233333.333333336</v>
      </c>
      <c r="AA224" s="498"/>
      <c r="AB224" s="498">
        <v>60233333.333333336</v>
      </c>
      <c r="AC224" s="498"/>
      <c r="AD224" s="498"/>
      <c r="AE224" s="498"/>
      <c r="AF224" s="498"/>
      <c r="AG224" s="498"/>
      <c r="AH224" s="501">
        <f t="shared" si="126"/>
        <v>180700000</v>
      </c>
      <c r="AI224" s="662">
        <v>15121</v>
      </c>
      <c r="AJ224" s="538">
        <v>44238</v>
      </c>
      <c r="AK224" s="536">
        <v>189100000</v>
      </c>
      <c r="AL224" s="536">
        <v>246100000</v>
      </c>
      <c r="AM224" s="536">
        <v>244222626.72</v>
      </c>
      <c r="AN224" s="532">
        <f>+R224-AL224</f>
        <v>0</v>
      </c>
      <c r="AO224" s="664">
        <f>+AL224-AM224</f>
        <v>1877373.2800000012</v>
      </c>
      <c r="AP224" s="533">
        <f t="shared" si="151"/>
        <v>1877373.2800000012</v>
      </c>
      <c r="AQ224" s="440"/>
      <c r="AR224" s="285"/>
      <c r="AS224" s="285"/>
      <c r="AT224" s="285"/>
      <c r="AU224" s="285"/>
      <c r="AV224" s="285"/>
      <c r="AW224" s="285"/>
      <c r="AX224" s="285"/>
      <c r="AY224" s="285"/>
      <c r="AZ224" s="285"/>
      <c r="BA224" s="285"/>
      <c r="BB224" s="285"/>
      <c r="BC224" s="285"/>
      <c r="BD224" s="285"/>
      <c r="BE224" s="285"/>
      <c r="BF224" s="285"/>
      <c r="BG224" s="285"/>
      <c r="BH224" s="285"/>
      <c r="BI224" s="285"/>
      <c r="BJ224" s="285"/>
      <c r="BK224" s="285"/>
      <c r="BL224" s="285"/>
      <c r="BM224" s="285"/>
      <c r="BN224" s="285"/>
      <c r="BO224" s="285"/>
      <c r="BP224" s="285"/>
      <c r="BQ224" s="285"/>
      <c r="BR224" s="285"/>
      <c r="BS224" s="285"/>
      <c r="BT224" s="285"/>
      <c r="BU224" s="285"/>
      <c r="BV224" s="285"/>
    </row>
    <row r="225" spans="2:74" ht="71.25" customHeight="1" x14ac:dyDescent="0.2">
      <c r="B225" s="682"/>
      <c r="C225" s="683"/>
      <c r="D225" s="683"/>
      <c r="E225" s="683"/>
      <c r="F225" s="683"/>
      <c r="G225" s="683"/>
      <c r="H225" s="683"/>
      <c r="I225" s="683"/>
      <c r="J225" s="683"/>
      <c r="K225" s="177" t="s">
        <v>315</v>
      </c>
      <c r="L225" s="400" t="s">
        <v>474</v>
      </c>
      <c r="M225" s="134">
        <v>44489</v>
      </c>
      <c r="N225" s="134" t="s">
        <v>578</v>
      </c>
      <c r="O225" s="157" t="s">
        <v>326</v>
      </c>
      <c r="P225" s="157" t="s">
        <v>483</v>
      </c>
      <c r="Q225" s="434"/>
      <c r="R225" s="101">
        <f>129100000-43734000</f>
        <v>85366000</v>
      </c>
      <c r="S225" s="402" t="s">
        <v>322</v>
      </c>
      <c r="T225" s="101">
        <v>229896200</v>
      </c>
      <c r="U225" s="253" t="s">
        <v>221</v>
      </c>
      <c r="V225" s="497"/>
      <c r="W225" s="497">
        <f>211666656+3500000</f>
        <v>215166656</v>
      </c>
      <c r="X225" s="498"/>
      <c r="Y225" s="498"/>
      <c r="Z225" s="498"/>
      <c r="AA225" s="498"/>
      <c r="AB225" s="498"/>
      <c r="AC225" s="498"/>
      <c r="AD225" s="498"/>
      <c r="AE225" s="498">
        <v>64550000</v>
      </c>
      <c r="AF225" s="498"/>
      <c r="AG225" s="498">
        <v>64550000</v>
      </c>
      <c r="AH225" s="501">
        <f t="shared" si="126"/>
        <v>344266656</v>
      </c>
      <c r="AI225" s="661">
        <v>67321</v>
      </c>
      <c r="AJ225" s="538">
        <v>44435</v>
      </c>
      <c r="AK225" s="536">
        <v>26271850</v>
      </c>
      <c r="AL225" s="536">
        <v>26271850</v>
      </c>
      <c r="AM225" s="536"/>
      <c r="AN225" s="532">
        <f t="shared" ref="AN225:AN226" si="152">+R225-AL225</f>
        <v>59094150</v>
      </c>
      <c r="AO225" s="664">
        <f t="shared" ref="AO225:AO226" si="153">+AL225-AM225</f>
        <v>26271850</v>
      </c>
      <c r="AP225" s="533">
        <f>R225-AL225+AO225</f>
        <v>85366000</v>
      </c>
      <c r="AQ225" s="440"/>
      <c r="AR225" s="285"/>
      <c r="AS225" s="285"/>
      <c r="AT225" s="285"/>
      <c r="AU225" s="285"/>
      <c r="AV225" s="285"/>
      <c r="AW225" s="285"/>
      <c r="AX225" s="285"/>
      <c r="AY225" s="285"/>
      <c r="AZ225" s="285"/>
      <c r="BA225" s="285"/>
      <c r="BB225" s="285"/>
      <c r="BC225" s="285"/>
      <c r="BD225" s="285"/>
      <c r="BE225" s="285"/>
      <c r="BF225" s="285"/>
      <c r="BG225" s="285"/>
      <c r="BH225" s="285"/>
      <c r="BI225" s="285"/>
      <c r="BJ225" s="285"/>
      <c r="BK225" s="285"/>
      <c r="BL225" s="285"/>
      <c r="BM225" s="285"/>
      <c r="BN225" s="285"/>
      <c r="BO225" s="285"/>
      <c r="BP225" s="285"/>
      <c r="BQ225" s="285"/>
      <c r="BR225" s="285"/>
      <c r="BS225" s="285"/>
      <c r="BT225" s="285"/>
      <c r="BU225" s="285"/>
      <c r="BV225" s="285"/>
    </row>
    <row r="226" spans="2:74" s="440" customFormat="1" ht="60" customHeight="1" x14ac:dyDescent="0.2">
      <c r="B226" s="682"/>
      <c r="C226" s="683"/>
      <c r="D226" s="683"/>
      <c r="E226" s="683"/>
      <c r="F226" s="683"/>
      <c r="G226" s="683"/>
      <c r="H226" s="683"/>
      <c r="I226" s="683"/>
      <c r="J226" s="683"/>
      <c r="K226" s="450">
        <v>72154100</v>
      </c>
      <c r="L226" s="451" t="s">
        <v>613</v>
      </c>
      <c r="M226" s="134">
        <v>44378</v>
      </c>
      <c r="N226" s="134" t="s">
        <v>579</v>
      </c>
      <c r="O226" s="157" t="s">
        <v>544</v>
      </c>
      <c r="P226" s="157" t="s">
        <v>483</v>
      </c>
      <c r="Q226" s="434"/>
      <c r="R226" s="101">
        <v>43734000</v>
      </c>
      <c r="S226" s="453" t="s">
        <v>322</v>
      </c>
      <c r="T226" s="101">
        <v>111105115</v>
      </c>
      <c r="U226" s="461" t="s">
        <v>221</v>
      </c>
      <c r="V226" s="497"/>
      <c r="W226" s="497"/>
      <c r="X226" s="498"/>
      <c r="Y226" s="498"/>
      <c r="Z226" s="498"/>
      <c r="AA226" s="498"/>
      <c r="AB226" s="498"/>
      <c r="AC226" s="498"/>
      <c r="AD226" s="498"/>
      <c r="AE226" s="498"/>
      <c r="AF226" s="498"/>
      <c r="AG226" s="498"/>
      <c r="AH226" s="501"/>
      <c r="AI226" s="661">
        <v>67321</v>
      </c>
      <c r="AJ226" s="538">
        <v>44435</v>
      </c>
      <c r="AK226" s="536">
        <v>43734000</v>
      </c>
      <c r="AL226" s="536">
        <v>43734000</v>
      </c>
      <c r="AM226" s="536"/>
      <c r="AN226" s="532">
        <f t="shared" si="152"/>
        <v>0</v>
      </c>
      <c r="AO226" s="664">
        <f t="shared" si="153"/>
        <v>43734000</v>
      </c>
      <c r="AP226" s="533">
        <f t="shared" si="151"/>
        <v>43734000</v>
      </c>
      <c r="AR226" s="285"/>
      <c r="AS226" s="285"/>
      <c r="AT226" s="285"/>
      <c r="AU226" s="285"/>
      <c r="AV226" s="285"/>
      <c r="AW226" s="285"/>
      <c r="AX226" s="285"/>
      <c r="AY226" s="285"/>
      <c r="AZ226" s="285"/>
      <c r="BA226" s="285"/>
      <c r="BB226" s="285"/>
      <c r="BC226" s="285"/>
      <c r="BD226" s="285"/>
      <c r="BE226" s="285"/>
      <c r="BF226" s="285"/>
      <c r="BG226" s="285"/>
      <c r="BH226" s="285"/>
      <c r="BI226" s="285"/>
      <c r="BJ226" s="285"/>
      <c r="BK226" s="285"/>
      <c r="BL226" s="285"/>
      <c r="BM226" s="285"/>
      <c r="BN226" s="285"/>
      <c r="BO226" s="285"/>
      <c r="BP226" s="285"/>
      <c r="BQ226" s="285"/>
      <c r="BR226" s="285"/>
      <c r="BS226" s="285"/>
      <c r="BT226" s="285"/>
      <c r="BU226" s="285"/>
      <c r="BV226" s="285"/>
    </row>
    <row r="227" spans="2:74" ht="75" customHeight="1" x14ac:dyDescent="0.2">
      <c r="B227" s="682"/>
      <c r="C227" s="683"/>
      <c r="D227" s="683"/>
      <c r="E227" s="683"/>
      <c r="F227" s="683"/>
      <c r="G227" s="683"/>
      <c r="H227" s="683"/>
      <c r="I227" s="683"/>
      <c r="J227" s="683"/>
      <c r="K227" s="398">
        <v>72154100</v>
      </c>
      <c r="L227" s="400" t="s">
        <v>460</v>
      </c>
      <c r="M227" s="134">
        <v>44317</v>
      </c>
      <c r="N227" s="134" t="s">
        <v>575</v>
      </c>
      <c r="O227" s="157" t="s">
        <v>311</v>
      </c>
      <c r="P227" s="157" t="s">
        <v>317</v>
      </c>
      <c r="Q227" s="434"/>
      <c r="R227" s="101">
        <f>302600000-22600000+26000000</f>
        <v>306000000</v>
      </c>
      <c r="S227" s="402" t="s">
        <v>350</v>
      </c>
      <c r="T227" s="101"/>
      <c r="U227" s="253" t="s">
        <v>221</v>
      </c>
      <c r="V227" s="497"/>
      <c r="W227" s="497"/>
      <c r="X227" s="498"/>
      <c r="Y227" s="498"/>
      <c r="Z227" s="498"/>
      <c r="AA227" s="498"/>
      <c r="AB227" s="498"/>
      <c r="AC227" s="498"/>
      <c r="AD227" s="498"/>
      <c r="AE227" s="498">
        <v>151300000</v>
      </c>
      <c r="AF227" s="498"/>
      <c r="AG227" s="498">
        <v>151300000</v>
      </c>
      <c r="AH227" s="501">
        <f t="shared" si="126"/>
        <v>302600000</v>
      </c>
      <c r="AI227" s="535">
        <v>13321</v>
      </c>
      <c r="AJ227" s="538">
        <v>44232</v>
      </c>
      <c r="AK227" s="536">
        <v>280000000</v>
      </c>
      <c r="AL227" s="536">
        <v>305036870</v>
      </c>
      <c r="AM227" s="536">
        <v>305036870</v>
      </c>
      <c r="AN227" s="532">
        <f>+R227-AL227</f>
        <v>963130</v>
      </c>
      <c r="AO227" s="532">
        <f>+AL227-AM227</f>
        <v>0</v>
      </c>
      <c r="AP227" s="533">
        <f t="shared" si="151"/>
        <v>963130</v>
      </c>
      <c r="AQ227" s="440"/>
      <c r="AR227" s="285"/>
      <c r="AS227" s="285"/>
      <c r="AT227" s="285"/>
      <c r="AU227" s="285"/>
      <c r="AV227" s="285"/>
      <c r="AW227" s="285"/>
      <c r="AX227" s="285"/>
      <c r="AY227" s="285"/>
      <c r="AZ227" s="285"/>
      <c r="BA227" s="285"/>
      <c r="BB227" s="285"/>
      <c r="BC227" s="285"/>
      <c r="BD227" s="285"/>
      <c r="BE227" s="285"/>
      <c r="BF227" s="285"/>
      <c r="BG227" s="285"/>
      <c r="BH227" s="285"/>
      <c r="BI227" s="285"/>
      <c r="BJ227" s="285"/>
      <c r="BK227" s="285"/>
      <c r="BL227" s="285"/>
      <c r="BM227" s="285"/>
      <c r="BN227" s="285"/>
      <c r="BO227" s="285"/>
      <c r="BP227" s="285"/>
      <c r="BQ227" s="285"/>
      <c r="BR227" s="285"/>
      <c r="BS227" s="285"/>
      <c r="BT227" s="285"/>
      <c r="BU227" s="285"/>
      <c r="BV227" s="285"/>
    </row>
    <row r="228" spans="2:74" ht="57.75" customHeight="1" x14ac:dyDescent="0.2">
      <c r="B228" s="682"/>
      <c r="C228" s="683"/>
      <c r="D228" s="683"/>
      <c r="E228" s="683"/>
      <c r="F228" s="683"/>
      <c r="G228" s="683"/>
      <c r="H228" s="683"/>
      <c r="I228" s="683"/>
      <c r="J228" s="683"/>
      <c r="K228" s="177" t="s">
        <v>316</v>
      </c>
      <c r="L228" s="400" t="s">
        <v>459</v>
      </c>
      <c r="M228" s="134">
        <v>44348</v>
      </c>
      <c r="N228" s="134" t="s">
        <v>572</v>
      </c>
      <c r="O228" s="157" t="s">
        <v>337</v>
      </c>
      <c r="P228" s="157" t="s">
        <v>483</v>
      </c>
      <c r="Q228" s="434"/>
      <c r="R228" s="101">
        <v>42200000</v>
      </c>
      <c r="S228" s="402" t="s">
        <v>350</v>
      </c>
      <c r="T228" s="101"/>
      <c r="U228" s="253" t="s">
        <v>221</v>
      </c>
      <c r="V228" s="497"/>
      <c r="W228" s="497"/>
      <c r="X228" s="498"/>
      <c r="Y228" s="498"/>
      <c r="Z228" s="498"/>
      <c r="AA228" s="498"/>
      <c r="AB228" s="498"/>
      <c r="AC228" s="498"/>
      <c r="AD228" s="498"/>
      <c r="AE228" s="498">
        <v>21100000</v>
      </c>
      <c r="AF228" s="498"/>
      <c r="AG228" s="498">
        <v>21100000</v>
      </c>
      <c r="AH228" s="501">
        <f t="shared" si="126"/>
        <v>42200000</v>
      </c>
      <c r="AI228" s="535">
        <v>35321</v>
      </c>
      <c r="AJ228" s="538">
        <v>44300</v>
      </c>
      <c r="AK228" s="536">
        <v>42200000</v>
      </c>
      <c r="AL228" s="536">
        <v>42200000</v>
      </c>
      <c r="AM228" s="536">
        <v>42200000</v>
      </c>
      <c r="AN228" s="532">
        <f>+R228-AL228</f>
        <v>0</v>
      </c>
      <c r="AO228" s="532">
        <f>+AL228-AM228</f>
        <v>0</v>
      </c>
      <c r="AP228" s="532">
        <f t="shared" si="151"/>
        <v>0</v>
      </c>
      <c r="AQ228" s="440"/>
      <c r="AR228" s="285"/>
      <c r="AS228" s="285"/>
      <c r="AT228" s="285"/>
      <c r="AU228" s="285"/>
      <c r="AV228" s="285"/>
      <c r="AW228" s="285"/>
      <c r="AX228" s="285"/>
      <c r="AY228" s="285"/>
      <c r="AZ228" s="285"/>
      <c r="BA228" s="285"/>
      <c r="BB228" s="285"/>
      <c r="BC228" s="285"/>
      <c r="BD228" s="285"/>
      <c r="BE228" s="285"/>
      <c r="BF228" s="285"/>
      <c r="BG228" s="285"/>
      <c r="BH228" s="285"/>
      <c r="BI228" s="285"/>
      <c r="BJ228" s="285"/>
      <c r="BK228" s="285"/>
      <c r="BL228" s="285"/>
      <c r="BM228" s="285"/>
      <c r="BN228" s="285"/>
      <c r="BO228" s="285"/>
      <c r="BP228" s="285"/>
      <c r="BQ228" s="285"/>
      <c r="BR228" s="285"/>
      <c r="BS228" s="285"/>
      <c r="BT228" s="285"/>
      <c r="BU228" s="285"/>
      <c r="BV228" s="285"/>
    </row>
    <row r="229" spans="2:74" s="440" customFormat="1" ht="106.5" customHeight="1" x14ac:dyDescent="0.2">
      <c r="B229" s="601"/>
      <c r="C229" s="602"/>
      <c r="D229" s="602"/>
      <c r="E229" s="602"/>
      <c r="F229" s="602"/>
      <c r="G229" s="602"/>
      <c r="H229" s="602"/>
      <c r="I229" s="602"/>
      <c r="J229" s="602"/>
      <c r="K229" s="447">
        <v>30191500</v>
      </c>
      <c r="L229" s="451" t="s">
        <v>673</v>
      </c>
      <c r="M229" s="134">
        <v>44484</v>
      </c>
      <c r="N229" s="134" t="s">
        <v>578</v>
      </c>
      <c r="O229" s="157" t="s">
        <v>672</v>
      </c>
      <c r="P229" s="157" t="s">
        <v>483</v>
      </c>
      <c r="Q229" s="434"/>
      <c r="R229" s="101">
        <v>129130000</v>
      </c>
      <c r="S229" s="453" t="s">
        <v>322</v>
      </c>
      <c r="T229" s="101"/>
      <c r="U229" s="461" t="s">
        <v>221</v>
      </c>
      <c r="V229" s="497"/>
      <c r="W229" s="497"/>
      <c r="X229" s="498"/>
      <c r="Y229" s="498"/>
      <c r="Z229" s="498"/>
      <c r="AA229" s="498"/>
      <c r="AB229" s="498"/>
      <c r="AC229" s="498"/>
      <c r="AD229" s="498"/>
      <c r="AE229" s="498"/>
      <c r="AF229" s="498">
        <v>123130000</v>
      </c>
      <c r="AG229" s="498"/>
      <c r="AH229" s="501"/>
      <c r="AI229" s="535">
        <v>83821</v>
      </c>
      <c r="AJ229" s="538">
        <v>44491</v>
      </c>
      <c r="AK229" s="536">
        <v>129130000</v>
      </c>
      <c r="AL229" s="536">
        <v>0</v>
      </c>
      <c r="AM229" s="536">
        <v>0</v>
      </c>
      <c r="AN229" s="532">
        <f>+R229-AL229</f>
        <v>129130000</v>
      </c>
      <c r="AO229" s="532">
        <f>+AL229-AM229</f>
        <v>0</v>
      </c>
      <c r="AP229" s="533">
        <f t="shared" ref="AP229" si="154">R229-AL229+AO229</f>
        <v>129130000</v>
      </c>
      <c r="AQ229" s="526"/>
      <c r="AR229" s="285"/>
      <c r="AS229" s="285"/>
      <c r="AT229" s="285"/>
      <c r="AU229" s="285"/>
      <c r="AV229" s="285"/>
      <c r="AW229" s="285"/>
      <c r="AX229" s="285"/>
      <c r="AY229" s="285"/>
      <c r="AZ229" s="285"/>
      <c r="BA229" s="285"/>
      <c r="BB229" s="285"/>
      <c r="BC229" s="285"/>
      <c r="BD229" s="285"/>
      <c r="BE229" s="285"/>
      <c r="BF229" s="285"/>
      <c r="BG229" s="285"/>
      <c r="BH229" s="285"/>
      <c r="BI229" s="285"/>
      <c r="BJ229" s="285"/>
      <c r="BK229" s="285"/>
      <c r="BL229" s="285"/>
      <c r="BM229" s="285"/>
      <c r="BN229" s="285"/>
      <c r="BO229" s="285"/>
      <c r="BP229" s="285"/>
      <c r="BQ229" s="285"/>
      <c r="BR229" s="285"/>
      <c r="BS229" s="285"/>
      <c r="BT229" s="285"/>
      <c r="BU229" s="285"/>
      <c r="BV229" s="285"/>
    </row>
    <row r="230" spans="2:74" s="549" customFormat="1" ht="45" customHeight="1" x14ac:dyDescent="0.2">
      <c r="B230" s="551"/>
      <c r="C230" s="552"/>
      <c r="D230" s="552"/>
      <c r="E230" s="552"/>
      <c r="F230" s="552"/>
      <c r="G230" s="552"/>
      <c r="H230" s="552"/>
      <c r="I230" s="552"/>
      <c r="J230" s="552"/>
      <c r="K230" s="553"/>
      <c r="L230" s="554" t="s">
        <v>213</v>
      </c>
      <c r="M230" s="555"/>
      <c r="N230" s="555"/>
      <c r="O230" s="556"/>
      <c r="P230" s="556"/>
      <c r="Q230" s="557"/>
      <c r="R230" s="557">
        <f>1000000000-480000000-85000000-129130000-75000000-200166656</f>
        <v>30703344</v>
      </c>
      <c r="S230" s="558"/>
      <c r="T230" s="559"/>
      <c r="U230" s="560" t="s">
        <v>221</v>
      </c>
      <c r="V230" s="561"/>
      <c r="W230" s="561"/>
      <c r="X230" s="562"/>
      <c r="Y230" s="562"/>
      <c r="Z230" s="562"/>
      <c r="AA230" s="562"/>
      <c r="AB230" s="562"/>
      <c r="AC230" s="562"/>
      <c r="AD230" s="562"/>
      <c r="AE230" s="562">
        <v>300000000</v>
      </c>
      <c r="AF230" s="562"/>
      <c r="AG230" s="562">
        <v>700000000</v>
      </c>
      <c r="AH230" s="562">
        <f t="shared" si="126"/>
        <v>1000000000</v>
      </c>
      <c r="AI230" s="535"/>
      <c r="AJ230" s="535"/>
      <c r="AK230" s="536"/>
      <c r="AL230" s="536"/>
      <c r="AM230" s="536"/>
      <c r="AN230" s="550"/>
      <c r="AO230" s="550"/>
      <c r="AP230" s="533">
        <f>R230-AL230+AO230</f>
        <v>30703344</v>
      </c>
      <c r="AR230" s="285"/>
      <c r="AS230" s="285"/>
      <c r="AT230" s="285"/>
      <c r="AU230" s="285"/>
      <c r="AV230" s="285"/>
      <c r="AW230" s="285"/>
      <c r="AX230" s="285"/>
      <c r="AY230" s="285"/>
      <c r="AZ230" s="285"/>
      <c r="BA230" s="285"/>
      <c r="BB230" s="285"/>
      <c r="BC230" s="285"/>
      <c r="BD230" s="285"/>
      <c r="BE230" s="285"/>
      <c r="BF230" s="285"/>
      <c r="BG230" s="285"/>
      <c r="BH230" s="285"/>
      <c r="BI230" s="285"/>
      <c r="BJ230" s="285"/>
      <c r="BK230" s="285"/>
      <c r="BL230" s="285"/>
      <c r="BM230" s="285"/>
      <c r="BN230" s="285"/>
      <c r="BO230" s="285"/>
      <c r="BP230" s="285"/>
      <c r="BQ230" s="285"/>
      <c r="BR230" s="285"/>
      <c r="BS230" s="285"/>
      <c r="BT230" s="285"/>
      <c r="BU230" s="285"/>
      <c r="BV230" s="285"/>
    </row>
    <row r="231" spans="2:74" ht="41.25" customHeight="1" x14ac:dyDescent="0.2">
      <c r="B231" s="397" t="s">
        <v>7</v>
      </c>
      <c r="C231" s="395" t="s">
        <v>27</v>
      </c>
      <c r="D231" s="395" t="s">
        <v>8</v>
      </c>
      <c r="E231" s="395" t="s">
        <v>20</v>
      </c>
      <c r="F231" s="395" t="s">
        <v>13</v>
      </c>
      <c r="G231" s="395" t="s">
        <v>12</v>
      </c>
      <c r="H231" s="395" t="s">
        <v>28</v>
      </c>
      <c r="I231" s="395"/>
      <c r="J231" s="405"/>
      <c r="K231" s="397"/>
      <c r="L231" s="404" t="s">
        <v>79</v>
      </c>
      <c r="M231" s="133"/>
      <c r="N231" s="133"/>
      <c r="O231" s="156"/>
      <c r="P231" s="156"/>
      <c r="Q231" s="434">
        <v>142000000</v>
      </c>
      <c r="R231" s="5">
        <f>SUM(R232:R233)</f>
        <v>166700000</v>
      </c>
      <c r="S231" s="181"/>
      <c r="T231" s="396"/>
      <c r="U231" s="245"/>
      <c r="V231" s="497">
        <f>SUM(V232:V233)</f>
        <v>2350000</v>
      </c>
      <c r="W231" s="497">
        <f>SUM(W232:W233)</f>
        <v>4700000</v>
      </c>
      <c r="X231" s="498">
        <f>SUM(X232:X233)</f>
        <v>4700000</v>
      </c>
      <c r="Y231" s="498">
        <f>SUM(Y232:Y233)</f>
        <v>4700000</v>
      </c>
      <c r="Z231" s="498">
        <f>SUM(Z232:Z233)</f>
        <v>4700000</v>
      </c>
      <c r="AA231" s="498">
        <f t="shared" ref="AA231:AF231" si="155">SUM(AA232:AA233)</f>
        <v>4700000</v>
      </c>
      <c r="AB231" s="498">
        <f t="shared" si="155"/>
        <v>4700000</v>
      </c>
      <c r="AC231" s="498">
        <f t="shared" si="155"/>
        <v>24700000</v>
      </c>
      <c r="AD231" s="498">
        <f t="shared" si="155"/>
        <v>4700000</v>
      </c>
      <c r="AE231" s="498">
        <f t="shared" si="155"/>
        <v>4700000</v>
      </c>
      <c r="AF231" s="498">
        <f t="shared" si="155"/>
        <v>4700000</v>
      </c>
      <c r="AG231" s="498">
        <f t="shared" ref="AG231" si="156">SUM(AG232:AG233)</f>
        <v>22350000</v>
      </c>
      <c r="AH231" s="501">
        <f t="shared" si="126"/>
        <v>91700000</v>
      </c>
      <c r="AI231" s="535"/>
      <c r="AJ231" s="535"/>
      <c r="AK231" s="536"/>
      <c r="AL231" s="536"/>
      <c r="AM231" s="536"/>
      <c r="AQ231" s="440"/>
      <c r="AR231" s="285"/>
      <c r="AS231" s="285"/>
      <c r="AT231" s="285"/>
      <c r="AU231" s="285"/>
      <c r="AV231" s="285"/>
      <c r="AW231" s="285"/>
      <c r="AX231" s="285"/>
      <c r="AY231" s="285"/>
      <c r="AZ231" s="285"/>
      <c r="BA231" s="285"/>
      <c r="BB231" s="285"/>
      <c r="BC231" s="285"/>
      <c r="BD231" s="285"/>
      <c r="BE231" s="285"/>
      <c r="BF231" s="285"/>
      <c r="BG231" s="285"/>
      <c r="BH231" s="285"/>
      <c r="BI231" s="285"/>
      <c r="BJ231" s="285"/>
      <c r="BK231" s="285"/>
      <c r="BL231" s="285"/>
      <c r="BM231" s="285"/>
      <c r="BN231" s="285"/>
      <c r="BO231" s="285"/>
      <c r="BP231" s="285"/>
      <c r="BQ231" s="285"/>
      <c r="BR231" s="285"/>
      <c r="BS231" s="285"/>
      <c r="BT231" s="285"/>
      <c r="BU231" s="285"/>
      <c r="BV231" s="285"/>
    </row>
    <row r="232" spans="2:74" ht="91.5" customHeight="1" x14ac:dyDescent="0.2">
      <c r="B232" s="682"/>
      <c r="C232" s="683"/>
      <c r="D232" s="683"/>
      <c r="E232" s="683"/>
      <c r="F232" s="683"/>
      <c r="G232" s="683"/>
      <c r="H232" s="683"/>
      <c r="I232" s="683"/>
      <c r="J232" s="683"/>
      <c r="K232" s="398">
        <v>72101500</v>
      </c>
      <c r="L232" s="400" t="s">
        <v>518</v>
      </c>
      <c r="M232" s="134">
        <v>44207</v>
      </c>
      <c r="N232" s="134" t="s">
        <v>540</v>
      </c>
      <c r="O232" s="157" t="s">
        <v>324</v>
      </c>
      <c r="P232" s="157" t="s">
        <v>338</v>
      </c>
      <c r="Q232" s="434"/>
      <c r="R232" s="101">
        <v>51700000</v>
      </c>
      <c r="S232" s="402" t="s">
        <v>350</v>
      </c>
      <c r="T232" s="101"/>
      <c r="U232" s="253" t="s">
        <v>221</v>
      </c>
      <c r="V232" s="497">
        <v>2350000</v>
      </c>
      <c r="W232" s="497">
        <v>4700000</v>
      </c>
      <c r="X232" s="498">
        <v>4700000</v>
      </c>
      <c r="Y232" s="498">
        <v>4700000</v>
      </c>
      <c r="Z232" s="498">
        <v>4700000</v>
      </c>
      <c r="AA232" s="498">
        <v>4700000</v>
      </c>
      <c r="AB232" s="498">
        <v>4700000</v>
      </c>
      <c r="AC232" s="498">
        <v>4700000</v>
      </c>
      <c r="AD232" s="498">
        <v>4700000</v>
      </c>
      <c r="AE232" s="498">
        <v>4700000</v>
      </c>
      <c r="AF232" s="498">
        <v>4700000</v>
      </c>
      <c r="AG232" s="498">
        <v>2350000</v>
      </c>
      <c r="AH232" s="501">
        <f t="shared" si="126"/>
        <v>51700000</v>
      </c>
      <c r="AI232" s="535">
        <v>3321</v>
      </c>
      <c r="AJ232" s="538">
        <v>44214</v>
      </c>
      <c r="AK232" s="536">
        <v>51700000</v>
      </c>
      <c r="AL232" s="536">
        <v>37286666</v>
      </c>
      <c r="AM232" s="536">
        <v>37286666</v>
      </c>
      <c r="AN232" s="532">
        <f>+R232-AL232</f>
        <v>14413334</v>
      </c>
      <c r="AO232" s="532">
        <f>+AL232-AM232</f>
        <v>0</v>
      </c>
      <c r="AP232" s="533">
        <f>R232-AL232+AO232</f>
        <v>14413334</v>
      </c>
      <c r="AQ232" s="440"/>
      <c r="AR232" s="285"/>
      <c r="AS232" s="285"/>
      <c r="AT232" s="285"/>
      <c r="AU232" s="285"/>
      <c r="AV232" s="285"/>
      <c r="AW232" s="285"/>
      <c r="AX232" s="285"/>
      <c r="AY232" s="285"/>
      <c r="AZ232" s="285"/>
      <c r="BA232" s="285"/>
      <c r="BB232" s="285"/>
      <c r="BC232" s="285"/>
      <c r="BD232" s="285"/>
      <c r="BE232" s="285"/>
      <c r="BF232" s="285"/>
      <c r="BG232" s="285"/>
      <c r="BH232" s="285"/>
      <c r="BI232" s="285"/>
      <c r="BJ232" s="285"/>
      <c r="BK232" s="285"/>
      <c r="BL232" s="285"/>
      <c r="BM232" s="285"/>
      <c r="BN232" s="285"/>
      <c r="BO232" s="285"/>
      <c r="BP232" s="285"/>
      <c r="BQ232" s="285"/>
      <c r="BR232" s="285"/>
      <c r="BS232" s="285"/>
      <c r="BT232" s="285"/>
      <c r="BU232" s="285"/>
      <c r="BV232" s="285"/>
    </row>
    <row r="233" spans="2:74" ht="86.25" customHeight="1" x14ac:dyDescent="0.2">
      <c r="B233" s="682"/>
      <c r="C233" s="683"/>
      <c r="D233" s="683"/>
      <c r="E233" s="683"/>
      <c r="F233" s="683"/>
      <c r="G233" s="683"/>
      <c r="H233" s="683"/>
      <c r="I233" s="683"/>
      <c r="J233" s="683"/>
      <c r="K233" s="450" t="s">
        <v>677</v>
      </c>
      <c r="L233" s="400" t="s">
        <v>676</v>
      </c>
      <c r="M233" s="134">
        <v>44129</v>
      </c>
      <c r="N233" s="134" t="s">
        <v>578</v>
      </c>
      <c r="O233" s="157" t="s">
        <v>294</v>
      </c>
      <c r="P233" s="157" t="s">
        <v>319</v>
      </c>
      <c r="Q233" s="434"/>
      <c r="R233" s="101">
        <f>40000000+75000000</f>
        <v>115000000</v>
      </c>
      <c r="S233" s="453" t="s">
        <v>386</v>
      </c>
      <c r="T233" s="399"/>
      <c r="U233" s="253" t="s">
        <v>181</v>
      </c>
      <c r="V233" s="497"/>
      <c r="W233" s="497"/>
      <c r="X233" s="498"/>
      <c r="Y233" s="498"/>
      <c r="Z233" s="498"/>
      <c r="AA233" s="498"/>
      <c r="AB233" s="498"/>
      <c r="AC233" s="498">
        <v>20000000</v>
      </c>
      <c r="AD233" s="498"/>
      <c r="AE233" s="498"/>
      <c r="AF233" s="498"/>
      <c r="AG233" s="498">
        <v>20000000</v>
      </c>
      <c r="AH233" s="501">
        <f t="shared" si="126"/>
        <v>40000000</v>
      </c>
      <c r="AI233" s="535">
        <v>84321</v>
      </c>
      <c r="AJ233" s="538">
        <v>44357</v>
      </c>
      <c r="AK233" s="536">
        <v>115000000</v>
      </c>
      <c r="AL233" s="536">
        <v>114415634</v>
      </c>
      <c r="AM233" s="536">
        <v>114415634</v>
      </c>
      <c r="AN233" s="532">
        <f>+R233-AL233</f>
        <v>584366</v>
      </c>
      <c r="AO233" s="532">
        <f>+AL233-AM233</f>
        <v>0</v>
      </c>
      <c r="AP233" s="533">
        <f>R233-AL233+AO233</f>
        <v>584366</v>
      </c>
      <c r="AQ233" s="440"/>
      <c r="AR233" s="285"/>
      <c r="AS233" s="285"/>
      <c r="AT233" s="285"/>
      <c r="AU233" s="285"/>
      <c r="AV233" s="285"/>
      <c r="AW233" s="285"/>
      <c r="AX233" s="285"/>
      <c r="AY233" s="285"/>
      <c r="AZ233" s="285"/>
      <c r="BA233" s="285"/>
      <c r="BB233" s="285"/>
      <c r="BC233" s="285"/>
      <c r="BD233" s="285"/>
      <c r="BE233" s="285"/>
      <c r="BF233" s="285"/>
      <c r="BG233" s="285"/>
      <c r="BH233" s="285"/>
      <c r="BI233" s="285"/>
      <c r="BJ233" s="285"/>
      <c r="BK233" s="285"/>
      <c r="BL233" s="285"/>
      <c r="BM233" s="285"/>
      <c r="BN233" s="285"/>
      <c r="BO233" s="285"/>
      <c r="BP233" s="285"/>
      <c r="BQ233" s="285"/>
      <c r="BR233" s="285"/>
      <c r="BS233" s="285"/>
      <c r="BT233" s="285"/>
      <c r="BU233" s="285"/>
      <c r="BV233" s="285"/>
    </row>
    <row r="234" spans="2:74" ht="48.75" customHeight="1" x14ac:dyDescent="0.2">
      <c r="B234" s="397" t="s">
        <v>7</v>
      </c>
      <c r="C234" s="395" t="s">
        <v>27</v>
      </c>
      <c r="D234" s="395" t="s">
        <v>8</v>
      </c>
      <c r="E234" s="395" t="s">
        <v>20</v>
      </c>
      <c r="F234" s="395" t="s">
        <v>13</v>
      </c>
      <c r="G234" s="395" t="s">
        <v>12</v>
      </c>
      <c r="H234" s="395" t="s">
        <v>29</v>
      </c>
      <c r="I234" s="395"/>
      <c r="J234" s="405"/>
      <c r="K234" s="397"/>
      <c r="L234" s="404" t="s">
        <v>80</v>
      </c>
      <c r="M234" s="133"/>
      <c r="N234" s="133"/>
      <c r="O234" s="156"/>
      <c r="P234" s="156"/>
      <c r="Q234" s="434">
        <v>1172000000</v>
      </c>
      <c r="R234" s="5">
        <f>SUM(R235:R239)</f>
        <v>971850000</v>
      </c>
      <c r="S234" s="403"/>
      <c r="T234" s="396"/>
      <c r="U234" s="245"/>
      <c r="V234" s="497">
        <f t="shared" ref="V234:AG234" si="157">SUM(V235:V239)</f>
        <v>60125000</v>
      </c>
      <c r="W234" s="497">
        <f t="shared" si="157"/>
        <v>120250000</v>
      </c>
      <c r="X234" s="498">
        <f t="shared" si="157"/>
        <v>120250000</v>
      </c>
      <c r="Y234" s="498">
        <f t="shared" si="157"/>
        <v>101550000</v>
      </c>
      <c r="Z234" s="498">
        <f t="shared" si="157"/>
        <v>82850000</v>
      </c>
      <c r="AA234" s="498">
        <f t="shared" si="157"/>
        <v>82850000</v>
      </c>
      <c r="AB234" s="498">
        <f t="shared" si="157"/>
        <v>82850000</v>
      </c>
      <c r="AC234" s="498">
        <f t="shared" si="157"/>
        <v>82850000</v>
      </c>
      <c r="AD234" s="498">
        <f t="shared" si="157"/>
        <v>82850000</v>
      </c>
      <c r="AE234" s="498">
        <f t="shared" si="157"/>
        <v>82850000</v>
      </c>
      <c r="AF234" s="498">
        <f t="shared" si="157"/>
        <v>82850000</v>
      </c>
      <c r="AG234" s="498">
        <f t="shared" si="157"/>
        <v>41425000</v>
      </c>
      <c r="AH234" s="501">
        <f t="shared" si="126"/>
        <v>1023550000</v>
      </c>
      <c r="AI234" s="535"/>
      <c r="AJ234" s="535"/>
      <c r="AK234" s="536"/>
      <c r="AL234" s="536"/>
      <c r="AM234" s="536"/>
      <c r="AQ234" s="440"/>
      <c r="AR234" s="285"/>
      <c r="AS234" s="285"/>
      <c r="AT234" s="285"/>
      <c r="AU234" s="285"/>
      <c r="AV234" s="285"/>
      <c r="AW234" s="285"/>
      <c r="AX234" s="285"/>
      <c r="AY234" s="285"/>
      <c r="AZ234" s="285"/>
      <c r="BA234" s="285"/>
      <c r="BB234" s="285"/>
      <c r="BC234" s="285"/>
      <c r="BD234" s="285"/>
      <c r="BE234" s="285"/>
      <c r="BF234" s="285"/>
      <c r="BG234" s="285"/>
      <c r="BH234" s="285"/>
      <c r="BI234" s="285"/>
      <c r="BJ234" s="285"/>
      <c r="BK234" s="285"/>
      <c r="BL234" s="285"/>
      <c r="BM234" s="285"/>
      <c r="BN234" s="285"/>
      <c r="BO234" s="285"/>
      <c r="BP234" s="285"/>
      <c r="BQ234" s="285"/>
      <c r="BR234" s="285"/>
      <c r="BS234" s="285"/>
      <c r="BT234" s="285"/>
      <c r="BU234" s="285"/>
      <c r="BV234" s="285"/>
    </row>
    <row r="235" spans="2:74" ht="30" customHeight="1" x14ac:dyDescent="0.2">
      <c r="B235" s="677"/>
      <c r="C235" s="678"/>
      <c r="D235" s="678"/>
      <c r="E235" s="678"/>
      <c r="F235" s="678"/>
      <c r="G235" s="678"/>
      <c r="H235" s="678"/>
      <c r="I235" s="678"/>
      <c r="J235" s="678"/>
      <c r="K235" s="398">
        <v>72154000</v>
      </c>
      <c r="L235" s="400" t="s">
        <v>519</v>
      </c>
      <c r="M235" s="134">
        <v>44207</v>
      </c>
      <c r="N235" s="134" t="s">
        <v>540</v>
      </c>
      <c r="O235" s="157" t="s">
        <v>324</v>
      </c>
      <c r="P235" s="157" t="s">
        <v>338</v>
      </c>
      <c r="Q235" s="434"/>
      <c r="R235" s="101">
        <f>25850000-25850000</f>
        <v>0</v>
      </c>
      <c r="S235" s="402" t="s">
        <v>350</v>
      </c>
      <c r="T235" s="399"/>
      <c r="U235" s="253" t="s">
        <v>221</v>
      </c>
      <c r="V235" s="497">
        <v>1175000</v>
      </c>
      <c r="W235" s="497">
        <v>2350000</v>
      </c>
      <c r="X235" s="498">
        <v>2350000</v>
      </c>
      <c r="Y235" s="498">
        <v>2350000</v>
      </c>
      <c r="Z235" s="498">
        <v>2350000</v>
      </c>
      <c r="AA235" s="498">
        <v>2350000</v>
      </c>
      <c r="AB235" s="498">
        <v>2350000</v>
      </c>
      <c r="AC235" s="498">
        <v>2350000</v>
      </c>
      <c r="AD235" s="498">
        <v>2350000</v>
      </c>
      <c r="AE235" s="498">
        <v>2350000</v>
      </c>
      <c r="AF235" s="498">
        <v>2350000</v>
      </c>
      <c r="AG235" s="498">
        <v>1175000</v>
      </c>
      <c r="AH235" s="501">
        <f t="shared" si="126"/>
        <v>25850000</v>
      </c>
      <c r="AI235" s="535">
        <v>0</v>
      </c>
      <c r="AJ235" s="535">
        <v>0</v>
      </c>
      <c r="AK235" s="536">
        <v>0</v>
      </c>
      <c r="AL235" s="536">
        <v>0</v>
      </c>
      <c r="AM235" s="536">
        <v>0</v>
      </c>
      <c r="AN235" s="532">
        <f>+R235-AL235</f>
        <v>0</v>
      </c>
      <c r="AO235" s="532">
        <f t="shared" ref="AO235:AO236" si="158">+AL235-AM235</f>
        <v>0</v>
      </c>
      <c r="AP235" s="533">
        <f>R235-AL235+AO235</f>
        <v>0</v>
      </c>
      <c r="AQ235" s="440"/>
      <c r="AR235" s="285"/>
      <c r="AS235" s="285"/>
      <c r="AT235" s="285"/>
      <c r="AU235" s="285"/>
      <c r="AV235" s="285"/>
      <c r="AW235" s="285"/>
      <c r="AX235" s="285"/>
      <c r="AY235" s="285"/>
      <c r="AZ235" s="285"/>
      <c r="BA235" s="285"/>
      <c r="BB235" s="285"/>
      <c r="BC235" s="285"/>
      <c r="BD235" s="285"/>
      <c r="BE235" s="285"/>
      <c r="BF235" s="285"/>
      <c r="BG235" s="285"/>
      <c r="BH235" s="285"/>
      <c r="BI235" s="285"/>
      <c r="BJ235" s="285"/>
      <c r="BK235" s="285"/>
      <c r="BL235" s="285"/>
      <c r="BM235" s="285"/>
      <c r="BN235" s="285"/>
      <c r="BO235" s="285"/>
      <c r="BP235" s="285"/>
      <c r="BQ235" s="285"/>
      <c r="BR235" s="285"/>
      <c r="BS235" s="285"/>
      <c r="BT235" s="285"/>
      <c r="BU235" s="285"/>
      <c r="BV235" s="285"/>
    </row>
    <row r="236" spans="2:74" s="440" customFormat="1" ht="30" customHeight="1" x14ac:dyDescent="0.2">
      <c r="B236" s="682"/>
      <c r="C236" s="683"/>
      <c r="D236" s="683"/>
      <c r="E236" s="683"/>
      <c r="F236" s="683"/>
      <c r="G236" s="683"/>
      <c r="H236" s="683"/>
      <c r="I236" s="683"/>
      <c r="J236" s="683"/>
      <c r="K236" s="447">
        <v>72152300</v>
      </c>
      <c r="L236" s="451" t="s">
        <v>520</v>
      </c>
      <c r="M236" s="134">
        <v>44207</v>
      </c>
      <c r="N236" s="134" t="s">
        <v>540</v>
      </c>
      <c r="O236" s="157" t="s">
        <v>324</v>
      </c>
      <c r="P236" s="157" t="s">
        <v>338</v>
      </c>
      <c r="Q236" s="434"/>
      <c r="R236" s="101">
        <f>25850000-25850000</f>
        <v>0</v>
      </c>
      <c r="S236" s="453" t="s">
        <v>350</v>
      </c>
      <c r="T236" s="449"/>
      <c r="U236" s="461" t="s">
        <v>221</v>
      </c>
      <c r="V236" s="497">
        <v>1175000</v>
      </c>
      <c r="W236" s="497">
        <v>2350000</v>
      </c>
      <c r="X236" s="498">
        <v>2350000</v>
      </c>
      <c r="Y236" s="498">
        <v>2350000</v>
      </c>
      <c r="Z236" s="498">
        <v>2350000</v>
      </c>
      <c r="AA236" s="498">
        <v>2350000</v>
      </c>
      <c r="AB236" s="498">
        <v>2350000</v>
      </c>
      <c r="AC236" s="498">
        <v>2350000</v>
      </c>
      <c r="AD236" s="498">
        <v>2350000</v>
      </c>
      <c r="AE236" s="498">
        <v>2350000</v>
      </c>
      <c r="AF236" s="498">
        <v>2350000</v>
      </c>
      <c r="AG236" s="498">
        <v>1175000</v>
      </c>
      <c r="AH236" s="501">
        <f t="shared" si="126"/>
        <v>25850000</v>
      </c>
      <c r="AI236" s="535">
        <v>0</v>
      </c>
      <c r="AJ236" s="535">
        <v>0</v>
      </c>
      <c r="AK236" s="536">
        <v>0</v>
      </c>
      <c r="AL236" s="536">
        <v>0</v>
      </c>
      <c r="AM236" s="536">
        <v>0</v>
      </c>
      <c r="AN236" s="532">
        <f>+R236-AL236</f>
        <v>0</v>
      </c>
      <c r="AO236" s="532">
        <f t="shared" si="158"/>
        <v>0</v>
      </c>
      <c r="AP236" s="533">
        <f>R236-AL236+AO236</f>
        <v>0</v>
      </c>
      <c r="AR236" s="285"/>
      <c r="AS236" s="285"/>
      <c r="AT236" s="285"/>
      <c r="AU236" s="285"/>
      <c r="AV236" s="285"/>
      <c r="AW236" s="285"/>
      <c r="AX236" s="285"/>
      <c r="AY236" s="285"/>
      <c r="AZ236" s="285"/>
      <c r="BA236" s="285"/>
      <c r="BB236" s="285"/>
      <c r="BC236" s="285"/>
      <c r="BD236" s="285"/>
      <c r="BE236" s="285"/>
      <c r="BF236" s="285"/>
      <c r="BG236" s="285"/>
      <c r="BH236" s="285"/>
      <c r="BI236" s="285"/>
      <c r="BJ236" s="285"/>
      <c r="BK236" s="285"/>
      <c r="BL236" s="285"/>
      <c r="BM236" s="285"/>
      <c r="BN236" s="285"/>
      <c r="BO236" s="285"/>
      <c r="BP236" s="285"/>
      <c r="BQ236" s="285"/>
      <c r="BR236" s="285"/>
      <c r="BS236" s="285"/>
      <c r="BT236" s="285"/>
      <c r="BU236" s="285"/>
      <c r="BV236" s="285"/>
    </row>
    <row r="237" spans="2:74" s="440" customFormat="1" ht="60" customHeight="1" x14ac:dyDescent="0.2">
      <c r="B237" s="682"/>
      <c r="C237" s="683"/>
      <c r="D237" s="683"/>
      <c r="E237" s="683"/>
      <c r="F237" s="683"/>
      <c r="G237" s="683"/>
      <c r="H237" s="683"/>
      <c r="I237" s="683"/>
      <c r="J237" s="683"/>
      <c r="K237" s="447">
        <v>72101500</v>
      </c>
      <c r="L237" s="451" t="s">
        <v>521</v>
      </c>
      <c r="M237" s="134">
        <v>44207</v>
      </c>
      <c r="N237" s="134" t="s">
        <v>540</v>
      </c>
      <c r="O237" s="157" t="s">
        <v>324</v>
      </c>
      <c r="P237" s="157" t="s">
        <v>338</v>
      </c>
      <c r="Q237" s="434"/>
      <c r="R237" s="101">
        <f>314600000+7904547</f>
        <v>322504547</v>
      </c>
      <c r="S237" s="453" t="s">
        <v>350</v>
      </c>
      <c r="T237" s="449"/>
      <c r="U237" s="461" t="s">
        <v>221</v>
      </c>
      <c r="V237" s="497">
        <v>14300000</v>
      </c>
      <c r="W237" s="497">
        <v>28600000</v>
      </c>
      <c r="X237" s="498">
        <v>28600000</v>
      </c>
      <c r="Y237" s="498">
        <v>28600000</v>
      </c>
      <c r="Z237" s="498">
        <v>28600000</v>
      </c>
      <c r="AA237" s="498">
        <v>28600000</v>
      </c>
      <c r="AB237" s="498">
        <v>28600000</v>
      </c>
      <c r="AC237" s="498">
        <v>28600000</v>
      </c>
      <c r="AD237" s="498">
        <v>28600000</v>
      </c>
      <c r="AE237" s="498">
        <v>28600000</v>
      </c>
      <c r="AF237" s="498">
        <v>28600000</v>
      </c>
      <c r="AG237" s="498">
        <v>14300000</v>
      </c>
      <c r="AH237" s="501">
        <f t="shared" si="126"/>
        <v>314600000</v>
      </c>
      <c r="AI237" s="535">
        <v>1821</v>
      </c>
      <c r="AJ237" s="538">
        <v>44209</v>
      </c>
      <c r="AK237" s="536">
        <v>314600000</v>
      </c>
      <c r="AL237" s="536">
        <v>308584000</v>
      </c>
      <c r="AM237" s="536">
        <v>308584000</v>
      </c>
      <c r="AN237" s="532">
        <f>+R237-AL237</f>
        <v>13920547</v>
      </c>
      <c r="AO237" s="532">
        <f t="shared" ref="AO237:AO239" si="159">+AL237-AM237</f>
        <v>0</v>
      </c>
      <c r="AP237" s="533">
        <f>R237-AL237+AO237</f>
        <v>13920547</v>
      </c>
      <c r="AQ237" s="285"/>
      <c r="AR237" s="285"/>
      <c r="AS237" s="285"/>
      <c r="AT237" s="285"/>
      <c r="AU237" s="285"/>
      <c r="AV237" s="285"/>
      <c r="AW237" s="285"/>
      <c r="AX237" s="285"/>
      <c r="AY237" s="285"/>
      <c r="AZ237" s="285"/>
      <c r="BA237" s="285"/>
      <c r="BB237" s="285"/>
      <c r="BC237" s="285"/>
      <c r="BD237" s="285"/>
      <c r="BE237" s="285"/>
      <c r="BF237" s="285"/>
      <c r="BG237" s="285"/>
      <c r="BH237" s="285"/>
      <c r="BI237" s="285"/>
      <c r="BJ237" s="285"/>
      <c r="BK237" s="285"/>
      <c r="BL237" s="285"/>
      <c r="BM237" s="285"/>
      <c r="BN237" s="285"/>
      <c r="BO237" s="285"/>
      <c r="BP237" s="285"/>
      <c r="BQ237" s="285"/>
      <c r="BR237" s="285"/>
      <c r="BS237" s="285"/>
      <c r="BT237" s="285"/>
      <c r="BU237" s="285"/>
      <c r="BV237" s="285"/>
    </row>
    <row r="238" spans="2:74" s="440" customFormat="1" ht="45" customHeight="1" x14ac:dyDescent="0.2">
      <c r="B238" s="682"/>
      <c r="C238" s="683"/>
      <c r="D238" s="683"/>
      <c r="E238" s="683"/>
      <c r="F238" s="683"/>
      <c r="G238" s="683"/>
      <c r="H238" s="683"/>
      <c r="I238" s="683"/>
      <c r="J238" s="683"/>
      <c r="K238" s="447">
        <v>72101500</v>
      </c>
      <c r="L238" s="451" t="s">
        <v>522</v>
      </c>
      <c r="M238" s="134">
        <v>44207</v>
      </c>
      <c r="N238" s="134" t="s">
        <v>540</v>
      </c>
      <c r="O238" s="157" t="s">
        <v>324</v>
      </c>
      <c r="P238" s="157" t="s">
        <v>338</v>
      </c>
      <c r="Q238" s="434"/>
      <c r="R238" s="101">
        <f>77550000-7904547</f>
        <v>69645453</v>
      </c>
      <c r="S238" s="453" t="s">
        <v>350</v>
      </c>
      <c r="T238" s="449"/>
      <c r="U238" s="461" t="s">
        <v>221</v>
      </c>
      <c r="V238" s="497">
        <v>3525000</v>
      </c>
      <c r="W238" s="497">
        <v>7050000</v>
      </c>
      <c r="X238" s="498">
        <v>7050000</v>
      </c>
      <c r="Y238" s="498">
        <v>7050000</v>
      </c>
      <c r="Z238" s="498">
        <v>7050000</v>
      </c>
      <c r="AA238" s="498">
        <v>7050000</v>
      </c>
      <c r="AB238" s="498">
        <v>7050000</v>
      </c>
      <c r="AC238" s="498">
        <v>7050000</v>
      </c>
      <c r="AD238" s="498">
        <v>7050000</v>
      </c>
      <c r="AE238" s="498">
        <v>7050000</v>
      </c>
      <c r="AF238" s="498">
        <v>7050000</v>
      </c>
      <c r="AG238" s="498">
        <v>3525000</v>
      </c>
      <c r="AH238" s="501">
        <f t="shared" si="126"/>
        <v>77550000</v>
      </c>
      <c r="AI238" s="535">
        <v>1721</v>
      </c>
      <c r="AJ238" s="538">
        <v>44209</v>
      </c>
      <c r="AK238" s="536">
        <v>77550000</v>
      </c>
      <c r="AL238" s="536">
        <v>61585605</v>
      </c>
      <c r="AM238" s="536">
        <v>61585605</v>
      </c>
      <c r="AN238" s="532">
        <f>+R238-AL238</f>
        <v>8059848</v>
      </c>
      <c r="AO238" s="532">
        <f t="shared" si="159"/>
        <v>0</v>
      </c>
      <c r="AP238" s="533">
        <f>R238-AL238+AO238</f>
        <v>8059848</v>
      </c>
      <c r="AQ238" s="285"/>
      <c r="AR238" s="285"/>
      <c r="AS238" s="285"/>
      <c r="AT238" s="285"/>
      <c r="AU238" s="285"/>
      <c r="AV238" s="285"/>
      <c r="AW238" s="285"/>
      <c r="AX238" s="285"/>
      <c r="AY238" s="285"/>
      <c r="AZ238" s="285"/>
      <c r="BA238" s="285"/>
      <c r="BB238" s="285"/>
      <c r="BC238" s="285"/>
      <c r="BD238" s="285"/>
      <c r="BE238" s="285"/>
      <c r="BF238" s="285"/>
      <c r="BG238" s="285"/>
      <c r="BH238" s="285"/>
      <c r="BI238" s="285"/>
      <c r="BJ238" s="285"/>
      <c r="BK238" s="285"/>
      <c r="BL238" s="285"/>
      <c r="BM238" s="285"/>
      <c r="BN238" s="285"/>
      <c r="BO238" s="285"/>
      <c r="BP238" s="285"/>
      <c r="BQ238" s="285"/>
      <c r="BR238" s="285"/>
      <c r="BS238" s="285"/>
      <c r="BT238" s="285"/>
      <c r="BU238" s="285"/>
      <c r="BV238" s="285"/>
    </row>
    <row r="239" spans="2:74" s="440" customFormat="1" ht="45" customHeight="1" x14ac:dyDescent="0.2">
      <c r="B239" s="682"/>
      <c r="C239" s="683"/>
      <c r="D239" s="683"/>
      <c r="E239" s="683"/>
      <c r="F239" s="683"/>
      <c r="G239" s="683"/>
      <c r="H239" s="683"/>
      <c r="I239" s="683"/>
      <c r="J239" s="683"/>
      <c r="K239" s="447">
        <v>72101500</v>
      </c>
      <c r="L239" s="451" t="s">
        <v>214</v>
      </c>
      <c r="M239" s="134">
        <v>44207</v>
      </c>
      <c r="N239" s="134" t="s">
        <v>540</v>
      </c>
      <c r="O239" s="157" t="s">
        <v>324</v>
      </c>
      <c r="P239" s="157" t="s">
        <v>338</v>
      </c>
      <c r="Q239" s="434"/>
      <c r="R239" s="101">
        <v>579700000</v>
      </c>
      <c r="S239" s="453" t="s">
        <v>350</v>
      </c>
      <c r="T239" s="449"/>
      <c r="U239" s="461" t="s">
        <v>221</v>
      </c>
      <c r="V239" s="497">
        <v>39950000</v>
      </c>
      <c r="W239" s="497">
        <v>79900000</v>
      </c>
      <c r="X239" s="498">
        <v>79900000</v>
      </c>
      <c r="Y239" s="498">
        <v>61200000</v>
      </c>
      <c r="Z239" s="498">
        <v>42500000</v>
      </c>
      <c r="AA239" s="498">
        <v>42500000</v>
      </c>
      <c r="AB239" s="498">
        <v>42500000</v>
      </c>
      <c r="AC239" s="498">
        <v>42500000</v>
      </c>
      <c r="AD239" s="498">
        <v>42500000</v>
      </c>
      <c r="AE239" s="498">
        <v>42500000</v>
      </c>
      <c r="AF239" s="498">
        <v>42500000</v>
      </c>
      <c r="AG239" s="498">
        <v>21250000</v>
      </c>
      <c r="AH239" s="501">
        <f t="shared" si="126"/>
        <v>579700000</v>
      </c>
      <c r="AI239" s="535">
        <v>1621</v>
      </c>
      <c r="AJ239" s="538">
        <v>44209</v>
      </c>
      <c r="AK239" s="536">
        <v>579700000</v>
      </c>
      <c r="AL239" s="536">
        <v>519470000</v>
      </c>
      <c r="AM239" s="536">
        <v>519470000</v>
      </c>
      <c r="AN239" s="532">
        <f>+R239-AL239</f>
        <v>60230000</v>
      </c>
      <c r="AO239" s="532">
        <f t="shared" si="159"/>
        <v>0</v>
      </c>
      <c r="AP239" s="533">
        <f>R239-AL239+AO239</f>
        <v>60230000</v>
      </c>
      <c r="AQ239" s="285"/>
      <c r="AR239" s="285"/>
      <c r="AS239" s="285"/>
      <c r="AT239" s="285"/>
      <c r="AU239" s="285"/>
      <c r="AV239" s="285"/>
      <c r="AW239" s="285"/>
      <c r="AX239" s="285"/>
      <c r="AY239" s="285"/>
      <c r="AZ239" s="285"/>
      <c r="BA239" s="285"/>
      <c r="BB239" s="285"/>
      <c r="BC239" s="285"/>
      <c r="BD239" s="285"/>
      <c r="BE239" s="285"/>
      <c r="BF239" s="285"/>
      <c r="BG239" s="285"/>
      <c r="BH239" s="285"/>
      <c r="BI239" s="285"/>
      <c r="BJ239" s="285"/>
      <c r="BK239" s="285"/>
      <c r="BL239" s="285"/>
      <c r="BM239" s="285"/>
      <c r="BN239" s="285"/>
      <c r="BO239" s="285"/>
      <c r="BP239" s="285"/>
      <c r="BQ239" s="285"/>
      <c r="BR239" s="285"/>
      <c r="BS239" s="285"/>
      <c r="BT239" s="285"/>
      <c r="BU239" s="285"/>
      <c r="BV239" s="285"/>
    </row>
    <row r="240" spans="2:74" ht="30" customHeight="1" x14ac:dyDescent="0.2">
      <c r="B240" s="13" t="s">
        <v>7</v>
      </c>
      <c r="C240" s="14" t="s">
        <v>27</v>
      </c>
      <c r="D240" s="14" t="s">
        <v>8</v>
      </c>
      <c r="E240" s="14" t="s">
        <v>20</v>
      </c>
      <c r="F240" s="14" t="s">
        <v>15</v>
      </c>
      <c r="G240" s="14"/>
      <c r="H240" s="14"/>
      <c r="I240" s="14"/>
      <c r="J240" s="195"/>
      <c r="K240" s="13"/>
      <c r="L240" s="411" t="s">
        <v>86</v>
      </c>
      <c r="M240" s="131"/>
      <c r="N240" s="131"/>
      <c r="O240" s="154"/>
      <c r="P240" s="154"/>
      <c r="Q240" s="434">
        <f>+Q241+Q245</f>
        <v>135000000</v>
      </c>
      <c r="R240" s="16">
        <f>+R241+R245</f>
        <v>135000000</v>
      </c>
      <c r="S240" s="14"/>
      <c r="T240" s="17"/>
      <c r="U240" s="252"/>
      <c r="V240" s="497">
        <f>+V241+V245</f>
        <v>11250000</v>
      </c>
      <c r="W240" s="497">
        <f>+W241+W245</f>
        <v>11250000</v>
      </c>
      <c r="X240" s="498">
        <f>+X241+X245</f>
        <v>11250000</v>
      </c>
      <c r="Y240" s="498">
        <f>+Y241+Y245</f>
        <v>11250000</v>
      </c>
      <c r="Z240" s="498">
        <f>+Z241+Z245</f>
        <v>11250000</v>
      </c>
      <c r="AA240" s="498">
        <f t="shared" ref="AA240:AF240" si="160">+AA241+AA245</f>
        <v>11250000</v>
      </c>
      <c r="AB240" s="498">
        <f t="shared" si="160"/>
        <v>11250000</v>
      </c>
      <c r="AC240" s="498">
        <f t="shared" si="160"/>
        <v>11250000</v>
      </c>
      <c r="AD240" s="498">
        <f t="shared" si="160"/>
        <v>11250000</v>
      </c>
      <c r="AE240" s="498">
        <f t="shared" si="160"/>
        <v>11250000</v>
      </c>
      <c r="AF240" s="498">
        <f t="shared" si="160"/>
        <v>11250000</v>
      </c>
      <c r="AG240" s="498">
        <f t="shared" ref="AG240" si="161">+AG241+AG245</f>
        <v>11250000</v>
      </c>
      <c r="AH240" s="501">
        <f t="shared" si="126"/>
        <v>135000000</v>
      </c>
      <c r="AI240" s="535"/>
      <c r="AJ240" s="535"/>
      <c r="AK240" s="536"/>
      <c r="AL240" s="536"/>
      <c r="AM240" s="536"/>
      <c r="AQ240" s="285"/>
      <c r="AR240" s="285"/>
      <c r="AS240" s="285"/>
      <c r="AT240" s="285"/>
      <c r="AU240" s="285"/>
      <c r="AV240" s="285"/>
      <c r="AW240" s="285"/>
      <c r="AX240" s="285"/>
      <c r="AY240" s="285"/>
      <c r="AZ240" s="285"/>
      <c r="BA240" s="285"/>
      <c r="BB240" s="285"/>
      <c r="BC240" s="285"/>
      <c r="BD240" s="285"/>
      <c r="BE240" s="285"/>
      <c r="BF240" s="285"/>
      <c r="BG240" s="285"/>
      <c r="BH240" s="285"/>
      <c r="BI240" s="285"/>
      <c r="BJ240" s="285"/>
      <c r="BK240" s="285"/>
      <c r="BL240" s="285"/>
      <c r="BM240" s="285"/>
      <c r="BN240" s="285"/>
      <c r="BO240" s="285"/>
      <c r="BP240" s="285"/>
      <c r="BQ240" s="285"/>
      <c r="BR240" s="285"/>
      <c r="BS240" s="285"/>
      <c r="BT240" s="285"/>
      <c r="BU240" s="285"/>
      <c r="BV240" s="285"/>
    </row>
    <row r="241" spans="2:74" ht="15" customHeight="1" x14ac:dyDescent="0.2">
      <c r="B241" s="31" t="s">
        <v>7</v>
      </c>
      <c r="C241" s="32" t="s">
        <v>27</v>
      </c>
      <c r="D241" s="32" t="s">
        <v>8</v>
      </c>
      <c r="E241" s="32" t="s">
        <v>20</v>
      </c>
      <c r="F241" s="32" t="s">
        <v>15</v>
      </c>
      <c r="G241" s="284" t="s">
        <v>9</v>
      </c>
      <c r="H241" s="32"/>
      <c r="I241" s="32"/>
      <c r="J241" s="32"/>
      <c r="K241" s="31"/>
      <c r="L241" s="416" t="s">
        <v>139</v>
      </c>
      <c r="M241" s="141"/>
      <c r="N241" s="141"/>
      <c r="O241" s="164"/>
      <c r="P241" s="164"/>
      <c r="Q241" s="434">
        <f t="shared" ref="Q241:R242" si="162">+Q242</f>
        <v>42000000</v>
      </c>
      <c r="R241" s="34">
        <f t="shared" si="162"/>
        <v>42000000</v>
      </c>
      <c r="S241" s="32"/>
      <c r="T241" s="35"/>
      <c r="U241" s="261"/>
      <c r="V241" s="497">
        <f t="shared" ref="V241:AG243" si="163">+V242</f>
        <v>3500000</v>
      </c>
      <c r="W241" s="497">
        <f t="shared" si="163"/>
        <v>3500000</v>
      </c>
      <c r="X241" s="498">
        <f t="shared" si="163"/>
        <v>3500000</v>
      </c>
      <c r="Y241" s="498">
        <f t="shared" si="163"/>
        <v>3500000</v>
      </c>
      <c r="Z241" s="498">
        <f t="shared" si="163"/>
        <v>3500000</v>
      </c>
      <c r="AA241" s="498">
        <f t="shared" si="163"/>
        <v>3500000</v>
      </c>
      <c r="AB241" s="498">
        <f t="shared" si="163"/>
        <v>3500000</v>
      </c>
      <c r="AC241" s="498">
        <f t="shared" si="163"/>
        <v>3500000</v>
      </c>
      <c r="AD241" s="498">
        <f t="shared" si="163"/>
        <v>3500000</v>
      </c>
      <c r="AE241" s="498">
        <f t="shared" si="163"/>
        <v>3500000</v>
      </c>
      <c r="AF241" s="498">
        <f t="shared" si="163"/>
        <v>3500000</v>
      </c>
      <c r="AG241" s="498">
        <f t="shared" si="163"/>
        <v>3500000</v>
      </c>
      <c r="AH241" s="501">
        <f t="shared" si="126"/>
        <v>42000000</v>
      </c>
      <c r="AI241" s="535"/>
      <c r="AJ241" s="535"/>
      <c r="AK241" s="536"/>
      <c r="AL241" s="536"/>
      <c r="AM241" s="536"/>
      <c r="AQ241" s="548"/>
      <c r="AR241" s="285"/>
      <c r="AS241" s="285"/>
      <c r="AT241" s="285"/>
      <c r="AU241" s="285"/>
      <c r="AV241" s="285"/>
      <c r="AW241" s="285"/>
      <c r="AX241" s="285"/>
      <c r="AY241" s="285"/>
      <c r="AZ241" s="285"/>
      <c r="BA241" s="285"/>
      <c r="BB241" s="285"/>
      <c r="BC241" s="285"/>
      <c r="BD241" s="285"/>
      <c r="BE241" s="285"/>
      <c r="BF241" s="285"/>
      <c r="BG241" s="285"/>
      <c r="BH241" s="285"/>
      <c r="BI241" s="285"/>
      <c r="BJ241" s="285"/>
      <c r="BK241" s="285"/>
      <c r="BL241" s="285"/>
      <c r="BM241" s="285"/>
      <c r="BN241" s="285"/>
      <c r="BO241" s="285"/>
      <c r="BP241" s="285"/>
      <c r="BQ241" s="285"/>
      <c r="BR241" s="285"/>
      <c r="BS241" s="285"/>
      <c r="BT241" s="285"/>
      <c r="BU241" s="285"/>
      <c r="BV241" s="285"/>
    </row>
    <row r="242" spans="2:74" s="285" customFormat="1" ht="30" customHeight="1" x14ac:dyDescent="0.2">
      <c r="B242" s="286" t="s">
        <v>7</v>
      </c>
      <c r="C242" s="233" t="s">
        <v>27</v>
      </c>
      <c r="D242" s="233" t="s">
        <v>8</v>
      </c>
      <c r="E242" s="233" t="s">
        <v>20</v>
      </c>
      <c r="F242" s="233" t="s">
        <v>15</v>
      </c>
      <c r="G242" s="233" t="s">
        <v>9</v>
      </c>
      <c r="H242" s="233" t="s">
        <v>23</v>
      </c>
      <c r="I242" s="233"/>
      <c r="J242" s="287"/>
      <c r="K242" s="397"/>
      <c r="L242" s="404" t="s">
        <v>87</v>
      </c>
      <c r="M242" s="133"/>
      <c r="N242" s="133"/>
      <c r="O242" s="156"/>
      <c r="P242" s="156"/>
      <c r="Q242" s="434">
        <f t="shared" si="162"/>
        <v>42000000</v>
      </c>
      <c r="R242" s="5">
        <f t="shared" si="162"/>
        <v>42000000</v>
      </c>
      <c r="S242" s="395"/>
      <c r="T242" s="288"/>
      <c r="U242" s="289"/>
      <c r="V242" s="497">
        <f t="shared" si="163"/>
        <v>3500000</v>
      </c>
      <c r="W242" s="497">
        <f t="shared" si="163"/>
        <v>3500000</v>
      </c>
      <c r="X242" s="498">
        <f t="shared" si="163"/>
        <v>3500000</v>
      </c>
      <c r="Y242" s="498">
        <f t="shared" si="163"/>
        <v>3500000</v>
      </c>
      <c r="Z242" s="498">
        <f t="shared" si="163"/>
        <v>3500000</v>
      </c>
      <c r="AA242" s="498">
        <f t="shared" si="163"/>
        <v>3500000</v>
      </c>
      <c r="AB242" s="498">
        <f t="shared" si="163"/>
        <v>3500000</v>
      </c>
      <c r="AC242" s="498">
        <f t="shared" si="163"/>
        <v>3500000</v>
      </c>
      <c r="AD242" s="498">
        <f t="shared" si="163"/>
        <v>3500000</v>
      </c>
      <c r="AE242" s="498">
        <f t="shared" si="163"/>
        <v>3500000</v>
      </c>
      <c r="AF242" s="498">
        <f t="shared" si="163"/>
        <v>3500000</v>
      </c>
      <c r="AG242" s="498">
        <f t="shared" si="163"/>
        <v>3500000</v>
      </c>
      <c r="AH242" s="501">
        <f t="shared" si="126"/>
        <v>42000000</v>
      </c>
      <c r="AI242" s="535"/>
      <c r="AJ242" s="535"/>
      <c r="AK242" s="536"/>
      <c r="AL242" s="536"/>
      <c r="AM242" s="536"/>
      <c r="AN242" s="537"/>
      <c r="AO242" s="537"/>
      <c r="AP242" s="537"/>
    </row>
    <row r="243" spans="2:74" s="285" customFormat="1" ht="15" customHeight="1" x14ac:dyDescent="0.2">
      <c r="B243" s="286" t="s">
        <v>7</v>
      </c>
      <c r="C243" s="233" t="s">
        <v>27</v>
      </c>
      <c r="D243" s="233" t="s">
        <v>8</v>
      </c>
      <c r="E243" s="233" t="s">
        <v>20</v>
      </c>
      <c r="F243" s="233" t="s">
        <v>15</v>
      </c>
      <c r="G243" s="233" t="s">
        <v>9</v>
      </c>
      <c r="H243" s="233" t="s">
        <v>23</v>
      </c>
      <c r="I243" s="233" t="s">
        <v>32</v>
      </c>
      <c r="J243" s="287"/>
      <c r="K243" s="397"/>
      <c r="L243" s="404" t="s">
        <v>413</v>
      </c>
      <c r="M243" s="133"/>
      <c r="N243" s="133"/>
      <c r="O243" s="156"/>
      <c r="P243" s="156"/>
      <c r="Q243" s="434">
        <v>42000000</v>
      </c>
      <c r="R243" s="5">
        <f>+R244</f>
        <v>42000000</v>
      </c>
      <c r="S243" s="395"/>
      <c r="T243" s="288"/>
      <c r="U243" s="289"/>
      <c r="V243" s="497">
        <f>+V244</f>
        <v>3500000</v>
      </c>
      <c r="W243" s="497">
        <f>+W244</f>
        <v>3500000</v>
      </c>
      <c r="X243" s="498">
        <f>+X244</f>
        <v>3500000</v>
      </c>
      <c r="Y243" s="498">
        <f>+Y244</f>
        <v>3500000</v>
      </c>
      <c r="Z243" s="498">
        <f>+Z244</f>
        <v>3500000</v>
      </c>
      <c r="AA243" s="498">
        <f t="shared" si="163"/>
        <v>3500000</v>
      </c>
      <c r="AB243" s="498">
        <f t="shared" si="163"/>
        <v>3500000</v>
      </c>
      <c r="AC243" s="498">
        <f t="shared" si="163"/>
        <v>3500000</v>
      </c>
      <c r="AD243" s="498">
        <f t="shared" si="163"/>
        <v>3500000</v>
      </c>
      <c r="AE243" s="498">
        <f t="shared" si="163"/>
        <v>3500000</v>
      </c>
      <c r="AF243" s="498">
        <f t="shared" si="163"/>
        <v>3500000</v>
      </c>
      <c r="AG243" s="498">
        <f t="shared" si="163"/>
        <v>3500000</v>
      </c>
      <c r="AH243" s="501">
        <f t="shared" si="126"/>
        <v>42000000</v>
      </c>
      <c r="AI243" s="535"/>
      <c r="AJ243" s="535"/>
      <c r="AK243" s="536"/>
      <c r="AL243" s="536"/>
      <c r="AM243" s="536"/>
      <c r="AN243" s="537"/>
      <c r="AO243" s="537"/>
      <c r="AP243" s="537"/>
    </row>
    <row r="244" spans="2:74" s="285" customFormat="1" ht="45" customHeight="1" x14ac:dyDescent="0.2">
      <c r="B244" s="291"/>
      <c r="C244" s="292"/>
      <c r="D244" s="292"/>
      <c r="E244" s="292"/>
      <c r="F244" s="292"/>
      <c r="G244" s="292"/>
      <c r="H244" s="292"/>
      <c r="I244" s="292"/>
      <c r="J244" s="293"/>
      <c r="K244" s="398"/>
      <c r="L244" s="400" t="s">
        <v>414</v>
      </c>
      <c r="M244" s="134" t="s">
        <v>375</v>
      </c>
      <c r="N244" s="134" t="s">
        <v>375</v>
      </c>
      <c r="O244" s="134" t="s">
        <v>375</v>
      </c>
      <c r="P244" s="134" t="s">
        <v>375</v>
      </c>
      <c r="Q244" s="434"/>
      <c r="R244" s="101">
        <v>42000000</v>
      </c>
      <c r="S244" s="402"/>
      <c r="T244" s="399"/>
      <c r="U244" s="253" t="s">
        <v>221</v>
      </c>
      <c r="V244" s="497">
        <v>3500000</v>
      </c>
      <c r="W244" s="497">
        <v>3500000</v>
      </c>
      <c r="X244" s="498">
        <v>3500000</v>
      </c>
      <c r="Y244" s="498">
        <v>3500000</v>
      </c>
      <c r="Z244" s="498">
        <v>3500000</v>
      </c>
      <c r="AA244" s="498">
        <v>3500000</v>
      </c>
      <c r="AB244" s="498">
        <v>3500000</v>
      </c>
      <c r="AC244" s="498">
        <v>3500000</v>
      </c>
      <c r="AD244" s="498">
        <v>3500000</v>
      </c>
      <c r="AE244" s="498">
        <v>3500000</v>
      </c>
      <c r="AF244" s="498">
        <v>3500000</v>
      </c>
      <c r="AG244" s="498">
        <v>3500000</v>
      </c>
      <c r="AH244" s="501">
        <f t="shared" si="126"/>
        <v>42000000</v>
      </c>
      <c r="AI244" s="535">
        <v>25121</v>
      </c>
      <c r="AJ244" s="538">
        <v>44264</v>
      </c>
      <c r="AK244" s="536">
        <v>42000000</v>
      </c>
      <c r="AL244" s="536">
        <v>29007768.600000001</v>
      </c>
      <c r="AM244" s="536">
        <v>27018543.600000001</v>
      </c>
      <c r="AN244" s="532">
        <f>+R244-AL244</f>
        <v>12992231.399999999</v>
      </c>
      <c r="AO244" s="532">
        <f t="shared" ref="AO244" si="164">+AL244-AM244</f>
        <v>1989225</v>
      </c>
      <c r="AP244" s="533">
        <f>R244-AL244+AO244</f>
        <v>14981456.399999999</v>
      </c>
    </row>
    <row r="245" spans="2:74" s="285" customFormat="1" ht="15" customHeight="1" x14ac:dyDescent="0.2">
      <c r="B245" s="31" t="s">
        <v>7</v>
      </c>
      <c r="C245" s="32" t="s">
        <v>27</v>
      </c>
      <c r="D245" s="32" t="s">
        <v>8</v>
      </c>
      <c r="E245" s="32" t="s">
        <v>20</v>
      </c>
      <c r="F245" s="32" t="s">
        <v>15</v>
      </c>
      <c r="G245" s="32" t="s">
        <v>10</v>
      </c>
      <c r="H245" s="32"/>
      <c r="I245" s="32"/>
      <c r="J245" s="202"/>
      <c r="K245" s="31"/>
      <c r="L245" s="416" t="s">
        <v>388</v>
      </c>
      <c r="M245" s="141"/>
      <c r="N245" s="141"/>
      <c r="O245" s="164"/>
      <c r="P245" s="164"/>
      <c r="Q245" s="434">
        <f>+Q246</f>
        <v>93000000</v>
      </c>
      <c r="R245" s="34">
        <f>+R246</f>
        <v>93000000</v>
      </c>
      <c r="S245" s="32"/>
      <c r="T245" s="35"/>
      <c r="U245" s="261"/>
      <c r="V245" s="497">
        <f>+V246</f>
        <v>7750000</v>
      </c>
      <c r="W245" s="497">
        <f>+W246</f>
        <v>7750000</v>
      </c>
      <c r="X245" s="498">
        <f>+X246</f>
        <v>7750000</v>
      </c>
      <c r="Y245" s="498">
        <f>+Y246</f>
        <v>7750000</v>
      </c>
      <c r="Z245" s="498">
        <f>+Z246</f>
        <v>7750000</v>
      </c>
      <c r="AA245" s="498">
        <f t="shared" ref="AA245:AG245" si="165">+AA246</f>
        <v>7750000</v>
      </c>
      <c r="AB245" s="498">
        <f t="shared" si="165"/>
        <v>7750000</v>
      </c>
      <c r="AC245" s="498">
        <f t="shared" si="165"/>
        <v>7750000</v>
      </c>
      <c r="AD245" s="498">
        <f t="shared" si="165"/>
        <v>7750000</v>
      </c>
      <c r="AE245" s="498">
        <f t="shared" si="165"/>
        <v>7750000</v>
      </c>
      <c r="AF245" s="498">
        <f t="shared" si="165"/>
        <v>7750000</v>
      </c>
      <c r="AG245" s="498">
        <f t="shared" si="165"/>
        <v>7750000</v>
      </c>
      <c r="AH245" s="501">
        <f t="shared" si="126"/>
        <v>93000000</v>
      </c>
      <c r="AI245" s="535"/>
      <c r="AJ245" s="535"/>
      <c r="AK245" s="536"/>
      <c r="AL245" s="536"/>
      <c r="AM245" s="536"/>
      <c r="AN245" s="537"/>
      <c r="AO245" s="537"/>
      <c r="AP245" s="537"/>
    </row>
    <row r="246" spans="2:74" s="285" customFormat="1" ht="30" customHeight="1" x14ac:dyDescent="0.2">
      <c r="B246" s="286" t="s">
        <v>7</v>
      </c>
      <c r="C246" s="233" t="s">
        <v>27</v>
      </c>
      <c r="D246" s="233" t="s">
        <v>8</v>
      </c>
      <c r="E246" s="233" t="s">
        <v>20</v>
      </c>
      <c r="F246" s="233" t="s">
        <v>15</v>
      </c>
      <c r="G246" s="233" t="s">
        <v>10</v>
      </c>
      <c r="H246" s="233" t="s">
        <v>8</v>
      </c>
      <c r="I246" s="395"/>
      <c r="J246" s="405"/>
      <c r="K246" s="397"/>
      <c r="L246" s="404" t="s">
        <v>389</v>
      </c>
      <c r="M246" s="133"/>
      <c r="N246" s="133"/>
      <c r="O246" s="156"/>
      <c r="P246" s="156"/>
      <c r="Q246" s="434">
        <f>SUM(Q247:Q247)</f>
        <v>93000000</v>
      </c>
      <c r="R246" s="5">
        <f>+R247</f>
        <v>93000000</v>
      </c>
      <c r="S246" s="181"/>
      <c r="T246" s="396"/>
      <c r="U246" s="245"/>
      <c r="V246" s="497">
        <f>SUM(V247:V247)</f>
        <v>7750000</v>
      </c>
      <c r="W246" s="497">
        <f>SUM(W247:W247)</f>
        <v>7750000</v>
      </c>
      <c r="X246" s="498">
        <f>SUM(X247:X247)</f>
        <v>7750000</v>
      </c>
      <c r="Y246" s="498">
        <f>SUM(Y247:Y247)</f>
        <v>7750000</v>
      </c>
      <c r="Z246" s="498">
        <f>SUM(Z247:Z247)</f>
        <v>7750000</v>
      </c>
      <c r="AA246" s="498">
        <f t="shared" ref="AA246:AG246" si="166">SUM(AA247:AA247)</f>
        <v>7750000</v>
      </c>
      <c r="AB246" s="498">
        <f t="shared" si="166"/>
        <v>7750000</v>
      </c>
      <c r="AC246" s="498">
        <f t="shared" si="166"/>
        <v>7750000</v>
      </c>
      <c r="AD246" s="498">
        <f t="shared" si="166"/>
        <v>7750000</v>
      </c>
      <c r="AE246" s="498">
        <f t="shared" si="166"/>
        <v>7750000</v>
      </c>
      <c r="AF246" s="498">
        <f t="shared" si="166"/>
        <v>7750000</v>
      </c>
      <c r="AG246" s="498">
        <f t="shared" si="166"/>
        <v>7750000</v>
      </c>
      <c r="AH246" s="501">
        <f t="shared" si="126"/>
        <v>93000000</v>
      </c>
      <c r="AI246" s="535"/>
      <c r="AJ246" s="535"/>
      <c r="AK246" s="536"/>
      <c r="AL246" s="536"/>
      <c r="AM246" s="536"/>
      <c r="AN246" s="537"/>
      <c r="AO246" s="537"/>
      <c r="AP246" s="537"/>
    </row>
    <row r="247" spans="2:74" s="285" customFormat="1" ht="30" customHeight="1" x14ac:dyDescent="0.2">
      <c r="B247" s="286" t="s">
        <v>7</v>
      </c>
      <c r="C247" s="233" t="s">
        <v>27</v>
      </c>
      <c r="D247" s="233" t="s">
        <v>8</v>
      </c>
      <c r="E247" s="233" t="s">
        <v>20</v>
      </c>
      <c r="F247" s="233" t="s">
        <v>15</v>
      </c>
      <c r="G247" s="233" t="s">
        <v>10</v>
      </c>
      <c r="H247" s="395" t="s">
        <v>8</v>
      </c>
      <c r="I247" s="395" t="s">
        <v>21</v>
      </c>
      <c r="J247" s="405"/>
      <c r="K247" s="397"/>
      <c r="L247" s="404" t="s">
        <v>390</v>
      </c>
      <c r="M247" s="133"/>
      <c r="N247" s="133"/>
      <c r="O247" s="156"/>
      <c r="P247" s="156"/>
      <c r="Q247" s="434">
        <v>93000000</v>
      </c>
      <c r="R247" s="5">
        <f>+R248</f>
        <v>93000000</v>
      </c>
      <c r="S247" s="181"/>
      <c r="T247" s="396"/>
      <c r="U247" s="245"/>
      <c r="V247" s="497">
        <f>+V248</f>
        <v>7750000</v>
      </c>
      <c r="W247" s="497">
        <f t="shared" ref="W247:AG247" si="167">+W248</f>
        <v>7750000</v>
      </c>
      <c r="X247" s="497">
        <f t="shared" si="167"/>
        <v>7750000</v>
      </c>
      <c r="Y247" s="497">
        <f t="shared" si="167"/>
        <v>7750000</v>
      </c>
      <c r="Z247" s="497">
        <f t="shared" si="167"/>
        <v>7750000</v>
      </c>
      <c r="AA247" s="497">
        <f t="shared" si="167"/>
        <v>7750000</v>
      </c>
      <c r="AB247" s="497">
        <f t="shared" si="167"/>
        <v>7750000</v>
      </c>
      <c r="AC247" s="497">
        <f t="shared" si="167"/>
        <v>7750000</v>
      </c>
      <c r="AD247" s="497">
        <f t="shared" si="167"/>
        <v>7750000</v>
      </c>
      <c r="AE247" s="497">
        <f t="shared" si="167"/>
        <v>7750000</v>
      </c>
      <c r="AF247" s="497">
        <f t="shared" si="167"/>
        <v>7750000</v>
      </c>
      <c r="AG247" s="497">
        <f t="shared" si="167"/>
        <v>7750000</v>
      </c>
      <c r="AH247" s="501">
        <f t="shared" si="126"/>
        <v>93000000</v>
      </c>
      <c r="AI247" s="535"/>
      <c r="AJ247" s="535"/>
      <c r="AK247" s="536"/>
      <c r="AL247" s="536"/>
      <c r="AM247" s="536"/>
      <c r="AN247" s="537"/>
      <c r="AO247" s="537"/>
      <c r="AP247" s="537"/>
      <c r="AQ247" s="440"/>
    </row>
    <row r="248" spans="2:74" s="285" customFormat="1" ht="63.75" customHeight="1" x14ac:dyDescent="0.2">
      <c r="B248" s="291"/>
      <c r="C248" s="292"/>
      <c r="D248" s="292"/>
      <c r="E248" s="292"/>
      <c r="F248" s="292"/>
      <c r="G248" s="292"/>
      <c r="H248" s="292"/>
      <c r="I248" s="292"/>
      <c r="J248" s="293"/>
      <c r="K248" s="398">
        <v>83112400</v>
      </c>
      <c r="L248" s="400" t="s">
        <v>391</v>
      </c>
      <c r="M248" s="134">
        <v>44198</v>
      </c>
      <c r="N248" s="134" t="s">
        <v>540</v>
      </c>
      <c r="O248" s="134" t="s">
        <v>301</v>
      </c>
      <c r="P248" s="134" t="s">
        <v>375</v>
      </c>
      <c r="Q248" s="434"/>
      <c r="R248" s="101">
        <v>93000000</v>
      </c>
      <c r="S248" s="402"/>
      <c r="T248" s="399"/>
      <c r="U248" s="253" t="s">
        <v>272</v>
      </c>
      <c r="V248" s="497">
        <v>7750000</v>
      </c>
      <c r="W248" s="497">
        <v>7750000</v>
      </c>
      <c r="X248" s="497">
        <v>7750000</v>
      </c>
      <c r="Y248" s="497">
        <v>7750000</v>
      </c>
      <c r="Z248" s="497">
        <v>7750000</v>
      </c>
      <c r="AA248" s="497">
        <v>7750000</v>
      </c>
      <c r="AB248" s="497">
        <v>7750000</v>
      </c>
      <c r="AC248" s="497">
        <v>7750000</v>
      </c>
      <c r="AD248" s="497">
        <v>7750000</v>
      </c>
      <c r="AE248" s="497">
        <v>7750000</v>
      </c>
      <c r="AF248" s="497">
        <v>7750000</v>
      </c>
      <c r="AG248" s="497">
        <v>7750000</v>
      </c>
      <c r="AH248" s="501">
        <f t="shared" si="126"/>
        <v>93000000</v>
      </c>
      <c r="AI248" s="535" t="s">
        <v>685</v>
      </c>
      <c r="AJ248" s="535" t="s">
        <v>686</v>
      </c>
      <c r="AK248" s="536">
        <v>83859000</v>
      </c>
      <c r="AL248" s="536">
        <v>83859000</v>
      </c>
      <c r="AM248" s="536">
        <v>83787000</v>
      </c>
      <c r="AN248" s="532">
        <f>+R248-AL248</f>
        <v>9141000</v>
      </c>
      <c r="AO248" s="663">
        <f t="shared" ref="AO248" si="168">+AL248-AM248</f>
        <v>72000</v>
      </c>
      <c r="AP248" s="533">
        <f>R248-AL248+AO248</f>
        <v>9213000</v>
      </c>
      <c r="AQ248" s="440"/>
    </row>
    <row r="249" spans="2:74" ht="15" customHeight="1" x14ac:dyDescent="0.2">
      <c r="B249" s="13" t="s">
        <v>7</v>
      </c>
      <c r="C249" s="14" t="s">
        <v>27</v>
      </c>
      <c r="D249" s="14" t="s">
        <v>8</v>
      </c>
      <c r="E249" s="14" t="s">
        <v>20</v>
      </c>
      <c r="F249" s="14" t="s">
        <v>16</v>
      </c>
      <c r="G249" s="14"/>
      <c r="H249" s="14"/>
      <c r="I249" s="14"/>
      <c r="J249" s="195"/>
      <c r="K249" s="13"/>
      <c r="L249" s="411" t="s">
        <v>91</v>
      </c>
      <c r="M249" s="131"/>
      <c r="N249" s="131"/>
      <c r="O249" s="154"/>
      <c r="P249" s="154"/>
      <c r="Q249" s="434">
        <f>+Q250+Q254+Q262</f>
        <v>2148000000</v>
      </c>
      <c r="R249" s="16">
        <f>+R250+R254+R262</f>
        <v>1665000000</v>
      </c>
      <c r="S249" s="218"/>
      <c r="T249" s="17"/>
      <c r="U249" s="252"/>
      <c r="V249" s="497">
        <f t="shared" ref="V249:AG249" si="169">+V250+V254+V262</f>
        <v>59458696</v>
      </c>
      <c r="W249" s="497">
        <f t="shared" si="169"/>
        <v>118917391.30434783</v>
      </c>
      <c r="X249" s="498">
        <f t="shared" si="169"/>
        <v>118917391.30434783</v>
      </c>
      <c r="Y249" s="498">
        <f t="shared" si="169"/>
        <v>118917391.30434783</v>
      </c>
      <c r="Z249" s="498">
        <f t="shared" si="169"/>
        <v>118917391.30434783</v>
      </c>
      <c r="AA249" s="498">
        <f t="shared" si="169"/>
        <v>118917391.30434783</v>
      </c>
      <c r="AB249" s="498">
        <f t="shared" si="169"/>
        <v>138250724.63768116</v>
      </c>
      <c r="AC249" s="498">
        <f t="shared" si="169"/>
        <v>175584057.9710145</v>
      </c>
      <c r="AD249" s="498">
        <f t="shared" si="169"/>
        <v>134250724.63768116</v>
      </c>
      <c r="AE249" s="498">
        <f t="shared" si="169"/>
        <v>173734057.9710145</v>
      </c>
      <c r="AF249" s="498">
        <f t="shared" si="169"/>
        <v>130550724.63768116</v>
      </c>
      <c r="AG249" s="498">
        <f t="shared" si="169"/>
        <v>171884057.9710145</v>
      </c>
      <c r="AH249" s="501">
        <f t="shared" si="126"/>
        <v>1578300000.3478262</v>
      </c>
      <c r="AI249" s="535"/>
      <c r="AJ249" s="535"/>
      <c r="AK249" s="536"/>
      <c r="AL249" s="536"/>
      <c r="AM249" s="536"/>
      <c r="AQ249" s="440"/>
      <c r="AR249" s="285"/>
      <c r="AS249" s="285"/>
      <c r="AT249" s="285"/>
      <c r="AU249" s="285"/>
      <c r="AV249" s="285"/>
      <c r="AW249" s="285"/>
      <c r="AX249" s="285"/>
      <c r="AY249" s="285"/>
      <c r="AZ249" s="285"/>
      <c r="BA249" s="285"/>
      <c r="BB249" s="285"/>
      <c r="BC249" s="285"/>
      <c r="BD249" s="285"/>
      <c r="BE249" s="285"/>
      <c r="BF249" s="285"/>
      <c r="BG249" s="285"/>
      <c r="BH249" s="285"/>
      <c r="BI249" s="285"/>
      <c r="BJ249" s="285"/>
      <c r="BK249" s="285"/>
      <c r="BL249" s="285"/>
      <c r="BM249" s="285"/>
      <c r="BN249" s="285"/>
      <c r="BO249" s="285"/>
      <c r="BP249" s="285"/>
      <c r="BQ249" s="285"/>
      <c r="BR249" s="285"/>
      <c r="BS249" s="285"/>
      <c r="BT249" s="285"/>
      <c r="BU249" s="285"/>
      <c r="BV249" s="285"/>
    </row>
    <row r="250" spans="2:74" ht="15" customHeight="1" x14ac:dyDescent="0.2">
      <c r="B250" s="31" t="s">
        <v>7</v>
      </c>
      <c r="C250" s="32" t="s">
        <v>27</v>
      </c>
      <c r="D250" s="32" t="s">
        <v>8</v>
      </c>
      <c r="E250" s="32" t="s">
        <v>20</v>
      </c>
      <c r="F250" s="32" t="s">
        <v>16</v>
      </c>
      <c r="G250" s="32" t="s">
        <v>11</v>
      </c>
      <c r="H250" s="32"/>
      <c r="I250" s="32"/>
      <c r="J250" s="202"/>
      <c r="K250" s="31"/>
      <c r="L250" s="416" t="s">
        <v>95</v>
      </c>
      <c r="M250" s="141"/>
      <c r="N250" s="141"/>
      <c r="O250" s="164"/>
      <c r="P250" s="164"/>
      <c r="Q250" s="434">
        <f>+Q251</f>
        <v>41400000</v>
      </c>
      <c r="R250" s="34">
        <f>+R251</f>
        <v>0</v>
      </c>
      <c r="S250" s="32"/>
      <c r="T250" s="35"/>
      <c r="U250" s="261"/>
      <c r="V250" s="497">
        <f>+V251</f>
        <v>1850000</v>
      </c>
      <c r="W250" s="497">
        <f>+W251</f>
        <v>3700000</v>
      </c>
      <c r="X250" s="498">
        <f>+X251</f>
        <v>3700000</v>
      </c>
      <c r="Y250" s="498">
        <f>+Y251</f>
        <v>3700000</v>
      </c>
      <c r="Z250" s="498">
        <f>+Z251</f>
        <v>3700000</v>
      </c>
      <c r="AA250" s="498">
        <f t="shared" ref="AA250:AG250" si="170">+AA251</f>
        <v>3700000</v>
      </c>
      <c r="AB250" s="498">
        <f t="shared" si="170"/>
        <v>3700000</v>
      </c>
      <c r="AC250" s="498">
        <f t="shared" si="170"/>
        <v>3700000</v>
      </c>
      <c r="AD250" s="498">
        <f t="shared" si="170"/>
        <v>3700000</v>
      </c>
      <c r="AE250" s="498">
        <f t="shared" si="170"/>
        <v>1850000</v>
      </c>
      <c r="AF250" s="498">
        <f t="shared" si="170"/>
        <v>0</v>
      </c>
      <c r="AG250" s="498">
        <f t="shared" si="170"/>
        <v>0</v>
      </c>
      <c r="AH250" s="501">
        <f t="shared" si="126"/>
        <v>33300000</v>
      </c>
      <c r="AI250" s="535"/>
      <c r="AJ250" s="535"/>
      <c r="AK250" s="536"/>
      <c r="AL250" s="536"/>
      <c r="AM250" s="536"/>
      <c r="AQ250" s="440"/>
      <c r="AR250" s="285"/>
      <c r="AS250" s="285"/>
      <c r="AT250" s="285"/>
      <c r="AU250" s="285"/>
      <c r="AV250" s="285"/>
      <c r="AW250" s="285"/>
      <c r="AX250" s="285"/>
      <c r="AY250" s="285"/>
      <c r="AZ250" s="285"/>
      <c r="BA250" s="285"/>
      <c r="BB250" s="285"/>
      <c r="BC250" s="285"/>
      <c r="BD250" s="285"/>
      <c r="BE250" s="285"/>
      <c r="BF250" s="285"/>
      <c r="BG250" s="285"/>
      <c r="BH250" s="285"/>
      <c r="BI250" s="285"/>
      <c r="BJ250" s="285"/>
      <c r="BK250" s="285"/>
      <c r="BL250" s="285"/>
      <c r="BM250" s="285"/>
      <c r="BN250" s="285"/>
      <c r="BO250" s="285"/>
      <c r="BP250" s="285"/>
      <c r="BQ250" s="285"/>
      <c r="BR250" s="285"/>
      <c r="BS250" s="285"/>
      <c r="BT250" s="285"/>
      <c r="BU250" s="285"/>
      <c r="BV250" s="285"/>
    </row>
    <row r="251" spans="2:74" ht="30" customHeight="1" x14ac:dyDescent="0.2">
      <c r="B251" s="397" t="s">
        <v>7</v>
      </c>
      <c r="C251" s="395" t="s">
        <v>27</v>
      </c>
      <c r="D251" s="395" t="s">
        <v>8</v>
      </c>
      <c r="E251" s="395" t="s">
        <v>20</v>
      </c>
      <c r="F251" s="395" t="s">
        <v>16</v>
      </c>
      <c r="G251" s="395" t="s">
        <v>11</v>
      </c>
      <c r="H251" s="395" t="s">
        <v>8</v>
      </c>
      <c r="I251" s="395"/>
      <c r="J251" s="405"/>
      <c r="K251" s="397"/>
      <c r="L251" s="404" t="s">
        <v>122</v>
      </c>
      <c r="M251" s="133"/>
      <c r="N251" s="133"/>
      <c r="O251" s="156"/>
      <c r="P251" s="156"/>
      <c r="Q251" s="434">
        <f>SUM(Q252:Q252)</f>
        <v>41400000</v>
      </c>
      <c r="R251" s="5">
        <f>SUM(R252:R252)</f>
        <v>0</v>
      </c>
      <c r="S251" s="181"/>
      <c r="T251" s="396"/>
      <c r="U251" s="245"/>
      <c r="V251" s="497">
        <f t="shared" ref="V251:Z252" si="171">SUM(V252:V252)</f>
        <v>1850000</v>
      </c>
      <c r="W251" s="497">
        <f t="shared" si="171"/>
        <v>3700000</v>
      </c>
      <c r="X251" s="498">
        <f t="shared" si="171"/>
        <v>3700000</v>
      </c>
      <c r="Y251" s="498">
        <f t="shared" si="171"/>
        <v>3700000</v>
      </c>
      <c r="Z251" s="498">
        <f t="shared" si="171"/>
        <v>3700000</v>
      </c>
      <c r="AA251" s="498">
        <f t="shared" ref="AA251:AG252" si="172">SUM(AA252:AA252)</f>
        <v>3700000</v>
      </c>
      <c r="AB251" s="498">
        <f t="shared" si="172"/>
        <v>3700000</v>
      </c>
      <c r="AC251" s="498">
        <f t="shared" si="172"/>
        <v>3700000</v>
      </c>
      <c r="AD251" s="498">
        <f t="shared" si="172"/>
        <v>3700000</v>
      </c>
      <c r="AE251" s="498">
        <f t="shared" si="172"/>
        <v>1850000</v>
      </c>
      <c r="AF251" s="498">
        <f t="shared" si="172"/>
        <v>0</v>
      </c>
      <c r="AG251" s="498">
        <f t="shared" si="172"/>
        <v>0</v>
      </c>
      <c r="AH251" s="501">
        <f t="shared" si="126"/>
        <v>33300000</v>
      </c>
      <c r="AI251" s="535"/>
      <c r="AJ251" s="535"/>
      <c r="AK251" s="536"/>
      <c r="AL251" s="536"/>
      <c r="AM251" s="536"/>
      <c r="AQ251" s="440"/>
      <c r="AR251" s="285"/>
      <c r="AS251" s="285"/>
      <c r="AT251" s="285"/>
      <c r="AU251" s="285"/>
      <c r="AV251" s="285"/>
      <c r="AW251" s="285"/>
      <c r="AX251" s="285"/>
      <c r="AY251" s="285"/>
      <c r="AZ251" s="285"/>
      <c r="BA251" s="285"/>
      <c r="BB251" s="285"/>
      <c r="BC251" s="285"/>
      <c r="BD251" s="285"/>
      <c r="BE251" s="285"/>
      <c r="BF251" s="285"/>
      <c r="BG251" s="285"/>
      <c r="BH251" s="285"/>
      <c r="BI251" s="285"/>
      <c r="BJ251" s="285"/>
      <c r="BK251" s="285"/>
      <c r="BL251" s="285"/>
      <c r="BM251" s="285"/>
      <c r="BN251" s="285"/>
      <c r="BO251" s="285"/>
      <c r="BP251" s="285"/>
      <c r="BQ251" s="285"/>
      <c r="BR251" s="285"/>
      <c r="BS251" s="285"/>
      <c r="BT251" s="285"/>
      <c r="BU251" s="285"/>
      <c r="BV251" s="285"/>
    </row>
    <row r="252" spans="2:74" ht="15.6" customHeight="1" x14ac:dyDescent="0.2">
      <c r="B252" s="397" t="s">
        <v>7</v>
      </c>
      <c r="C252" s="395" t="s">
        <v>27</v>
      </c>
      <c r="D252" s="395" t="s">
        <v>8</v>
      </c>
      <c r="E252" s="395" t="s">
        <v>20</v>
      </c>
      <c r="F252" s="395" t="s">
        <v>16</v>
      </c>
      <c r="G252" s="395" t="s">
        <v>11</v>
      </c>
      <c r="H252" s="395" t="s">
        <v>8</v>
      </c>
      <c r="I252" s="395" t="s">
        <v>21</v>
      </c>
      <c r="J252" s="405"/>
      <c r="K252" s="397"/>
      <c r="L252" s="404" t="s">
        <v>96</v>
      </c>
      <c r="M252" s="133"/>
      <c r="N252" s="133"/>
      <c r="O252" s="156"/>
      <c r="P252" s="156"/>
      <c r="Q252" s="434">
        <v>41400000</v>
      </c>
      <c r="R252" s="5">
        <f>SUM(R253:R253)</f>
        <v>0</v>
      </c>
      <c r="S252" s="181"/>
      <c r="T252" s="396"/>
      <c r="U252" s="245"/>
      <c r="V252" s="497">
        <f t="shared" si="171"/>
        <v>1850000</v>
      </c>
      <c r="W252" s="497">
        <f t="shared" si="171"/>
        <v>3700000</v>
      </c>
      <c r="X252" s="498">
        <f t="shared" si="171"/>
        <v>3700000</v>
      </c>
      <c r="Y252" s="498">
        <f t="shared" si="171"/>
        <v>3700000</v>
      </c>
      <c r="Z252" s="498">
        <f t="shared" si="171"/>
        <v>3700000</v>
      </c>
      <c r="AA252" s="498">
        <f t="shared" si="172"/>
        <v>3700000</v>
      </c>
      <c r="AB252" s="498">
        <f t="shared" si="172"/>
        <v>3700000</v>
      </c>
      <c r="AC252" s="498">
        <f t="shared" si="172"/>
        <v>3700000</v>
      </c>
      <c r="AD252" s="498">
        <f t="shared" si="172"/>
        <v>3700000</v>
      </c>
      <c r="AE252" s="498">
        <f t="shared" si="172"/>
        <v>1850000</v>
      </c>
      <c r="AF252" s="498">
        <f t="shared" si="172"/>
        <v>0</v>
      </c>
      <c r="AG252" s="498">
        <f t="shared" si="172"/>
        <v>0</v>
      </c>
      <c r="AH252" s="501">
        <f t="shared" ref="AH252:AH311" si="173">SUM(V252:AG252)</f>
        <v>33300000</v>
      </c>
      <c r="AI252" s="535"/>
      <c r="AJ252" s="535"/>
      <c r="AK252" s="536"/>
      <c r="AL252" s="536"/>
      <c r="AM252" s="536"/>
      <c r="AQ252" s="440"/>
      <c r="AR252" s="285"/>
      <c r="AS252" s="285"/>
      <c r="AT252" s="285"/>
      <c r="AU252" s="285"/>
      <c r="AV252" s="285"/>
      <c r="AW252" s="285"/>
      <c r="AX252" s="285"/>
      <c r="AY252" s="285"/>
      <c r="AZ252" s="285"/>
      <c r="BA252" s="285"/>
      <c r="BB252" s="285"/>
      <c r="BC252" s="285"/>
      <c r="BD252" s="285"/>
      <c r="BE252" s="285"/>
      <c r="BF252" s="285"/>
      <c r="BG252" s="285"/>
      <c r="BH252" s="285"/>
      <c r="BI252" s="285"/>
      <c r="BJ252" s="285"/>
      <c r="BK252" s="285"/>
      <c r="BL252" s="285"/>
      <c r="BM252" s="285"/>
      <c r="BN252" s="285"/>
      <c r="BO252" s="285"/>
      <c r="BP252" s="285"/>
      <c r="BQ252" s="285"/>
      <c r="BR252" s="285"/>
      <c r="BS252" s="285"/>
      <c r="BT252" s="285"/>
      <c r="BU252" s="285"/>
      <c r="BV252" s="285"/>
    </row>
    <row r="253" spans="2:74" ht="75" customHeight="1" x14ac:dyDescent="0.2">
      <c r="B253" s="677"/>
      <c r="C253" s="678"/>
      <c r="D253" s="678"/>
      <c r="E253" s="678"/>
      <c r="F253" s="678"/>
      <c r="G253" s="678"/>
      <c r="H253" s="678"/>
      <c r="I253" s="678"/>
      <c r="J253" s="678"/>
      <c r="K253" s="398">
        <v>80101500</v>
      </c>
      <c r="L253" s="400" t="s">
        <v>523</v>
      </c>
      <c r="M253" s="134">
        <v>44207</v>
      </c>
      <c r="N253" s="134" t="s">
        <v>540</v>
      </c>
      <c r="O253" s="157" t="s">
        <v>362</v>
      </c>
      <c r="P253" s="157" t="s">
        <v>338</v>
      </c>
      <c r="Q253" s="434"/>
      <c r="R253" s="101">
        <f>33300000-33300000</f>
        <v>0</v>
      </c>
      <c r="S253" s="402" t="s">
        <v>350</v>
      </c>
      <c r="T253" s="399"/>
      <c r="U253" s="253" t="s">
        <v>221</v>
      </c>
      <c r="V253" s="497">
        <v>1850000</v>
      </c>
      <c r="W253" s="497">
        <v>3700000</v>
      </c>
      <c r="X253" s="498">
        <v>3700000</v>
      </c>
      <c r="Y253" s="498">
        <v>3700000</v>
      </c>
      <c r="Z253" s="498">
        <v>3700000</v>
      </c>
      <c r="AA253" s="498">
        <v>3700000</v>
      </c>
      <c r="AB253" s="498">
        <v>3700000</v>
      </c>
      <c r="AC253" s="498">
        <v>3700000</v>
      </c>
      <c r="AD253" s="498">
        <v>3700000</v>
      </c>
      <c r="AE253" s="498">
        <v>1850000</v>
      </c>
      <c r="AF253" s="498"/>
      <c r="AG253" s="498"/>
      <c r="AH253" s="501">
        <f t="shared" si="173"/>
        <v>33300000</v>
      </c>
      <c r="AI253" s="535">
        <v>0</v>
      </c>
      <c r="AJ253" s="535">
        <v>0</v>
      </c>
      <c r="AK253" s="536">
        <v>0</v>
      </c>
      <c r="AL253" s="536">
        <v>0</v>
      </c>
      <c r="AM253" s="536">
        <v>0</v>
      </c>
      <c r="AN253" s="527">
        <v>0</v>
      </c>
      <c r="AO253" s="527">
        <v>0</v>
      </c>
      <c r="AP253" s="527">
        <v>0</v>
      </c>
      <c r="AQ253" s="440"/>
      <c r="AR253" s="285"/>
      <c r="AS253" s="285"/>
      <c r="AT253" s="285"/>
      <c r="AU253" s="285"/>
      <c r="AV253" s="285"/>
      <c r="AW253" s="285"/>
      <c r="AX253" s="285"/>
      <c r="AY253" s="285"/>
      <c r="AZ253" s="285"/>
      <c r="BA253" s="285"/>
      <c r="BB253" s="285"/>
      <c r="BC253" s="285"/>
      <c r="BD253" s="285"/>
      <c r="BE253" s="285"/>
      <c r="BF253" s="285"/>
      <c r="BG253" s="285"/>
      <c r="BH253" s="285"/>
      <c r="BI253" s="285"/>
      <c r="BJ253" s="285"/>
      <c r="BK253" s="285"/>
      <c r="BL253" s="285"/>
      <c r="BM253" s="285"/>
      <c r="BN253" s="285"/>
      <c r="BO253" s="285"/>
      <c r="BP253" s="285"/>
      <c r="BQ253" s="285"/>
      <c r="BR253" s="285"/>
      <c r="BS253" s="285"/>
      <c r="BT253" s="285"/>
      <c r="BU253" s="285"/>
      <c r="BV253" s="285"/>
    </row>
    <row r="254" spans="2:74" ht="39" customHeight="1" x14ac:dyDescent="0.2">
      <c r="B254" s="31" t="s">
        <v>7</v>
      </c>
      <c r="C254" s="32" t="s">
        <v>27</v>
      </c>
      <c r="D254" s="32" t="s">
        <v>8</v>
      </c>
      <c r="E254" s="32" t="s">
        <v>20</v>
      </c>
      <c r="F254" s="32" t="s">
        <v>16</v>
      </c>
      <c r="G254" s="32" t="s">
        <v>13</v>
      </c>
      <c r="H254" s="32"/>
      <c r="I254" s="32"/>
      <c r="J254" s="202"/>
      <c r="K254" s="31"/>
      <c r="L254" s="416" t="s">
        <v>104</v>
      </c>
      <c r="M254" s="141"/>
      <c r="N254" s="141"/>
      <c r="O254" s="164"/>
      <c r="P254" s="164"/>
      <c r="Q254" s="434">
        <f>+Q258+Q255</f>
        <v>2052000000</v>
      </c>
      <c r="R254" s="34">
        <f>R255+R258</f>
        <v>1598830000</v>
      </c>
      <c r="S254" s="235"/>
      <c r="T254" s="35"/>
      <c r="U254" s="261"/>
      <c r="V254" s="497">
        <f t="shared" ref="V254:AG254" si="174">V255+V258</f>
        <v>57608696</v>
      </c>
      <c r="W254" s="497">
        <f t="shared" si="174"/>
        <v>115217391.30434783</v>
      </c>
      <c r="X254" s="498">
        <f t="shared" si="174"/>
        <v>115217391.30434783</v>
      </c>
      <c r="Y254" s="498">
        <f t="shared" si="174"/>
        <v>115217391.30434783</v>
      </c>
      <c r="Z254" s="498">
        <f t="shared" si="174"/>
        <v>115217391.30434783</v>
      </c>
      <c r="AA254" s="498">
        <f t="shared" si="174"/>
        <v>115217391.30434783</v>
      </c>
      <c r="AB254" s="498">
        <f t="shared" si="174"/>
        <v>115217391.30434783</v>
      </c>
      <c r="AC254" s="498">
        <f t="shared" si="174"/>
        <v>171884057.9710145</v>
      </c>
      <c r="AD254" s="498">
        <f t="shared" si="174"/>
        <v>115217391.30434783</v>
      </c>
      <c r="AE254" s="498">
        <f t="shared" si="174"/>
        <v>171884057.9710145</v>
      </c>
      <c r="AF254" s="498">
        <f t="shared" si="174"/>
        <v>115217391.30434783</v>
      </c>
      <c r="AG254" s="498">
        <f t="shared" si="174"/>
        <v>171884057.9710145</v>
      </c>
      <c r="AH254" s="501">
        <f t="shared" si="173"/>
        <v>1495000000.3478262</v>
      </c>
      <c r="AI254" s="535"/>
      <c r="AJ254" s="535"/>
      <c r="AK254" s="536"/>
      <c r="AL254" s="536"/>
      <c r="AM254" s="536"/>
      <c r="AQ254" s="440"/>
      <c r="AR254" s="285"/>
      <c r="AS254" s="285"/>
      <c r="AT254" s="285"/>
      <c r="AU254" s="285"/>
      <c r="AV254" s="285"/>
      <c r="AW254" s="285"/>
      <c r="AX254" s="285"/>
      <c r="AY254" s="285"/>
      <c r="AZ254" s="285"/>
      <c r="BA254" s="285"/>
      <c r="BB254" s="285"/>
      <c r="BC254" s="285"/>
      <c r="BD254" s="285"/>
      <c r="BE254" s="285"/>
      <c r="BF254" s="285"/>
      <c r="BG254" s="285"/>
      <c r="BH254" s="285"/>
      <c r="BI254" s="285"/>
      <c r="BJ254" s="285"/>
      <c r="BK254" s="285"/>
      <c r="BL254" s="285"/>
      <c r="BM254" s="285"/>
      <c r="BN254" s="285"/>
      <c r="BO254" s="285"/>
      <c r="BP254" s="285"/>
      <c r="BQ254" s="285"/>
      <c r="BR254" s="285"/>
      <c r="BS254" s="285"/>
      <c r="BT254" s="285"/>
      <c r="BU254" s="285"/>
      <c r="BV254" s="285"/>
    </row>
    <row r="255" spans="2:74" s="394" customFormat="1" ht="15" customHeight="1" x14ac:dyDescent="0.2">
      <c r="B255" s="397" t="s">
        <v>7</v>
      </c>
      <c r="C255" s="395" t="s">
        <v>27</v>
      </c>
      <c r="D255" s="395" t="s">
        <v>8</v>
      </c>
      <c r="E255" s="395" t="s">
        <v>20</v>
      </c>
      <c r="F255" s="395" t="s">
        <v>16</v>
      </c>
      <c r="G255" s="395" t="s">
        <v>13</v>
      </c>
      <c r="H255" s="395" t="s">
        <v>20</v>
      </c>
      <c r="I255" s="395"/>
      <c r="J255" s="405"/>
      <c r="K255" s="397"/>
      <c r="L255" s="404" t="s">
        <v>461</v>
      </c>
      <c r="M255" s="133"/>
      <c r="N255" s="133"/>
      <c r="O255" s="156"/>
      <c r="P255" s="156"/>
      <c r="Q255" s="434">
        <v>587000000</v>
      </c>
      <c r="R255" s="5">
        <f>SUM(R256:R257)</f>
        <v>200000000</v>
      </c>
      <c r="S255" s="403"/>
      <c r="T255" s="396"/>
      <c r="U255" s="245"/>
      <c r="V255" s="497">
        <f>SUM(V257)</f>
        <v>0</v>
      </c>
      <c r="W255" s="497">
        <f>SUM(W257)</f>
        <v>0</v>
      </c>
      <c r="X255" s="498">
        <f>SUM(X257)</f>
        <v>0</v>
      </c>
      <c r="Y255" s="498">
        <f>SUM(Y257)</f>
        <v>0</v>
      </c>
      <c r="Z255" s="498">
        <f>SUM(Z257)</f>
        <v>0</v>
      </c>
      <c r="AA255" s="498">
        <f t="shared" ref="AA255:AG255" si="175">SUM(AA257)</f>
        <v>0</v>
      </c>
      <c r="AB255" s="498">
        <f t="shared" si="175"/>
        <v>0</v>
      </c>
      <c r="AC255" s="498">
        <f t="shared" si="175"/>
        <v>0</v>
      </c>
      <c r="AD255" s="498">
        <f t="shared" si="175"/>
        <v>0</v>
      </c>
      <c r="AE255" s="498">
        <f t="shared" si="175"/>
        <v>0</v>
      </c>
      <c r="AF255" s="498">
        <f t="shared" si="175"/>
        <v>0</v>
      </c>
      <c r="AG255" s="498">
        <f t="shared" si="175"/>
        <v>0</v>
      </c>
      <c r="AH255" s="501">
        <f t="shared" si="173"/>
        <v>0</v>
      </c>
      <c r="AI255" s="535"/>
      <c r="AJ255" s="535"/>
      <c r="AK255" s="536"/>
      <c r="AL255" s="536"/>
      <c r="AM255" s="536"/>
      <c r="AN255" s="527"/>
      <c r="AO255" s="527"/>
      <c r="AP255" s="527"/>
      <c r="AQ255" s="440"/>
      <c r="AR255" s="285"/>
      <c r="AS255" s="285"/>
      <c r="AT255" s="285"/>
      <c r="AU255" s="285"/>
      <c r="AV255" s="285"/>
      <c r="AW255" s="285"/>
      <c r="AX255" s="285"/>
      <c r="AY255" s="285"/>
      <c r="AZ255" s="285"/>
      <c r="BA255" s="285"/>
      <c r="BB255" s="285"/>
      <c r="BC255" s="285"/>
      <c r="BD255" s="285"/>
      <c r="BE255" s="285"/>
      <c r="BF255" s="285"/>
      <c r="BG255" s="285"/>
      <c r="BH255" s="285"/>
      <c r="BI255" s="285"/>
      <c r="BJ255" s="285"/>
      <c r="BK255" s="285"/>
      <c r="BL255" s="285"/>
      <c r="BM255" s="285"/>
      <c r="BN255" s="285"/>
      <c r="BO255" s="285"/>
      <c r="BP255" s="285"/>
      <c r="BQ255" s="285"/>
      <c r="BR255" s="285"/>
      <c r="BS255" s="285"/>
      <c r="BT255" s="285"/>
      <c r="BU255" s="285"/>
      <c r="BV255" s="285"/>
    </row>
    <row r="256" spans="2:74" s="440" customFormat="1" ht="76.5" customHeight="1" x14ac:dyDescent="0.2">
      <c r="B256" s="679"/>
      <c r="C256" s="680"/>
      <c r="D256" s="680"/>
      <c r="E256" s="680"/>
      <c r="F256" s="680"/>
      <c r="G256" s="680"/>
      <c r="H256" s="680"/>
      <c r="I256" s="680"/>
      <c r="J256" s="681"/>
      <c r="K256" s="447">
        <v>92121500</v>
      </c>
      <c r="L256" s="451" t="s">
        <v>630</v>
      </c>
      <c r="M256" s="134">
        <v>44207</v>
      </c>
      <c r="N256" s="134" t="s">
        <v>540</v>
      </c>
      <c r="O256" s="157" t="s">
        <v>301</v>
      </c>
      <c r="P256" s="157" t="s">
        <v>317</v>
      </c>
      <c r="Q256" s="434"/>
      <c r="R256" s="101">
        <f>600300000-400300000-17436638</f>
        <v>182563362</v>
      </c>
      <c r="S256" s="453" t="s">
        <v>350</v>
      </c>
      <c r="T256" s="449"/>
      <c r="U256" s="461" t="s">
        <v>221</v>
      </c>
      <c r="V256" s="497">
        <v>26100000</v>
      </c>
      <c r="W256" s="497">
        <v>52200000</v>
      </c>
      <c r="X256" s="498">
        <v>52200000</v>
      </c>
      <c r="Y256" s="498">
        <v>52200000</v>
      </c>
      <c r="Z256" s="498">
        <v>52200000</v>
      </c>
      <c r="AA256" s="498">
        <v>52200000</v>
      </c>
      <c r="AB256" s="498">
        <v>52200000</v>
      </c>
      <c r="AC256" s="498">
        <v>52200000</v>
      </c>
      <c r="AD256" s="498">
        <v>52200000</v>
      </c>
      <c r="AE256" s="498">
        <v>52200000</v>
      </c>
      <c r="AF256" s="498">
        <v>52200000</v>
      </c>
      <c r="AG256" s="498">
        <v>52200000</v>
      </c>
      <c r="AH256" s="501">
        <f t="shared" si="173"/>
        <v>600300000</v>
      </c>
      <c r="AI256" s="535">
        <v>1521</v>
      </c>
      <c r="AJ256" s="538">
        <v>44209</v>
      </c>
      <c r="AK256" s="536">
        <v>484722384</v>
      </c>
      <c r="AL256" s="536">
        <v>153683768</v>
      </c>
      <c r="AM256" s="536">
        <v>153683768</v>
      </c>
      <c r="AN256" s="532">
        <f>+R256-AL256</f>
        <v>28879594</v>
      </c>
      <c r="AO256" s="532">
        <f>+AL256-AM256</f>
        <v>0</v>
      </c>
      <c r="AP256" s="533">
        <f>R256-AL256+AO256</f>
        <v>28879594</v>
      </c>
      <c r="AR256" s="285"/>
      <c r="AS256" s="285"/>
      <c r="AT256" s="285"/>
      <c r="AU256" s="285"/>
      <c r="AV256" s="285"/>
      <c r="AW256" s="285"/>
      <c r="AX256" s="285"/>
      <c r="AY256" s="285"/>
      <c r="AZ256" s="285"/>
      <c r="BA256" s="285"/>
      <c r="BB256" s="285"/>
      <c r="BC256" s="285"/>
      <c r="BD256" s="285"/>
      <c r="BE256" s="285"/>
      <c r="BF256" s="285"/>
      <c r="BG256" s="285"/>
      <c r="BH256" s="285"/>
      <c r="BI256" s="285"/>
      <c r="BJ256" s="285"/>
      <c r="BK256" s="285"/>
      <c r="BL256" s="285"/>
      <c r="BM256" s="285"/>
      <c r="BN256" s="285"/>
      <c r="BO256" s="285"/>
      <c r="BP256" s="285"/>
      <c r="BQ256" s="285"/>
      <c r="BR256" s="285"/>
      <c r="BS256" s="285"/>
      <c r="BT256" s="285"/>
      <c r="BU256" s="285"/>
      <c r="BV256" s="285"/>
    </row>
    <row r="257" spans="2:74" s="440" customFormat="1" ht="106.5" customHeight="1" x14ac:dyDescent="0.2">
      <c r="B257" s="565"/>
      <c r="C257" s="566"/>
      <c r="D257" s="566"/>
      <c r="E257" s="566"/>
      <c r="F257" s="566"/>
      <c r="G257" s="566"/>
      <c r="H257" s="566"/>
      <c r="I257" s="566"/>
      <c r="J257" s="566"/>
      <c r="K257" s="447">
        <v>92121500</v>
      </c>
      <c r="L257" s="451" t="s">
        <v>626</v>
      </c>
      <c r="M257" s="134">
        <v>44470</v>
      </c>
      <c r="N257" s="134" t="s">
        <v>578</v>
      </c>
      <c r="O257" s="157" t="s">
        <v>337</v>
      </c>
      <c r="P257" s="157" t="s">
        <v>483</v>
      </c>
      <c r="Q257" s="434"/>
      <c r="R257" s="101">
        <v>17436638</v>
      </c>
      <c r="S257" s="453" t="s">
        <v>322</v>
      </c>
      <c r="T257" s="101">
        <v>87183190</v>
      </c>
      <c r="U257" s="461" t="s">
        <v>221</v>
      </c>
      <c r="V257" s="497"/>
      <c r="W257" s="497"/>
      <c r="X257" s="498"/>
      <c r="Y257" s="498"/>
      <c r="Z257" s="498"/>
      <c r="AA257" s="498"/>
      <c r="AB257" s="498"/>
      <c r="AC257" s="498"/>
      <c r="AD257" s="498"/>
      <c r="AE257" s="498"/>
      <c r="AF257" s="498"/>
      <c r="AG257" s="498"/>
      <c r="AH257" s="501"/>
      <c r="AI257" s="661">
        <v>67321</v>
      </c>
      <c r="AJ257" s="538">
        <v>44435</v>
      </c>
      <c r="AK257" s="536">
        <v>17436638</v>
      </c>
      <c r="AL257" s="536">
        <v>17436638</v>
      </c>
      <c r="AM257" s="536"/>
      <c r="AN257" s="532">
        <f>+R257-AL257</f>
        <v>0</v>
      </c>
      <c r="AO257" s="532">
        <f>+AL257-AM257</f>
        <v>17436638</v>
      </c>
      <c r="AP257" s="533">
        <f>R257-AL257+AO257</f>
        <v>17436638</v>
      </c>
      <c r="AR257" s="285"/>
      <c r="AS257" s="285"/>
      <c r="AT257" s="285"/>
      <c r="AU257" s="285"/>
      <c r="AV257" s="285"/>
      <c r="AW257" s="285"/>
      <c r="AX257" s="285"/>
      <c r="AY257" s="285"/>
      <c r="AZ257" s="285"/>
      <c r="BA257" s="285"/>
      <c r="BB257" s="285"/>
      <c r="BC257" s="285"/>
      <c r="BD257" s="285"/>
      <c r="BE257" s="285"/>
      <c r="BF257" s="285"/>
      <c r="BG257" s="285"/>
      <c r="BH257" s="285"/>
      <c r="BI257" s="285"/>
      <c r="BJ257" s="285"/>
      <c r="BK257" s="285"/>
      <c r="BL257" s="285"/>
      <c r="BM257" s="285"/>
      <c r="BN257" s="285"/>
      <c r="BO257" s="285"/>
      <c r="BP257" s="285"/>
      <c r="BQ257" s="285"/>
      <c r="BR257" s="285"/>
      <c r="BS257" s="285"/>
      <c r="BT257" s="285"/>
      <c r="BU257" s="285"/>
      <c r="BV257" s="285"/>
    </row>
    <row r="258" spans="2:74" ht="58.5" customHeight="1" x14ac:dyDescent="0.2">
      <c r="B258" s="397" t="s">
        <v>7</v>
      </c>
      <c r="C258" s="395">
        <v>5</v>
      </c>
      <c r="D258" s="395" t="s">
        <v>8</v>
      </c>
      <c r="E258" s="395" t="s">
        <v>20</v>
      </c>
      <c r="F258" s="395" t="s">
        <v>16</v>
      </c>
      <c r="G258" s="395" t="s">
        <v>13</v>
      </c>
      <c r="H258" s="395" t="s">
        <v>23</v>
      </c>
      <c r="I258" s="395"/>
      <c r="J258" s="405"/>
      <c r="K258" s="397"/>
      <c r="L258" s="464" t="s">
        <v>596</v>
      </c>
      <c r="M258" s="133"/>
      <c r="N258" s="133"/>
      <c r="O258" s="156"/>
      <c r="P258" s="156"/>
      <c r="Q258" s="434">
        <f>1419000000+46000000</f>
        <v>1465000000</v>
      </c>
      <c r="R258" s="5">
        <f>SUM(R259:R261)</f>
        <v>1398830000</v>
      </c>
      <c r="S258" s="403"/>
      <c r="T258" s="396"/>
      <c r="U258" s="245"/>
      <c r="V258" s="497">
        <f>SUM(V259:V261)</f>
        <v>57608696</v>
      </c>
      <c r="W258" s="497">
        <f>SUM(W259:W261)</f>
        <v>115217391.30434783</v>
      </c>
      <c r="X258" s="498">
        <f>SUM(X259:X261)</f>
        <v>115217391.30434783</v>
      </c>
      <c r="Y258" s="498">
        <f>SUM(Y259:Y261)</f>
        <v>115217391.30434783</v>
      </c>
      <c r="Z258" s="498">
        <f>SUM(Z259:Z261)</f>
        <v>115217391.30434783</v>
      </c>
      <c r="AA258" s="498">
        <f t="shared" ref="AA258:AF258" si="176">SUM(AA259:AA261)</f>
        <v>115217391.30434783</v>
      </c>
      <c r="AB258" s="498">
        <f t="shared" si="176"/>
        <v>115217391.30434783</v>
      </c>
      <c r="AC258" s="498">
        <f t="shared" si="176"/>
        <v>171884057.9710145</v>
      </c>
      <c r="AD258" s="498">
        <f t="shared" si="176"/>
        <v>115217391.30434783</v>
      </c>
      <c r="AE258" s="498">
        <f t="shared" si="176"/>
        <v>171884057.9710145</v>
      </c>
      <c r="AF258" s="498">
        <f t="shared" si="176"/>
        <v>115217391.30434783</v>
      </c>
      <c r="AG258" s="498">
        <f t="shared" ref="AG258" si="177">SUM(AG259:AG261)</f>
        <v>171884057.9710145</v>
      </c>
      <c r="AH258" s="501">
        <f t="shared" si="173"/>
        <v>1495000000.3478262</v>
      </c>
      <c r="AI258" s="535"/>
      <c r="AJ258" s="535"/>
      <c r="AK258" s="536"/>
      <c r="AL258" s="536"/>
      <c r="AM258" s="536"/>
      <c r="AQ258" s="440"/>
      <c r="AR258" s="658"/>
      <c r="AS258" s="285"/>
      <c r="AT258" s="285"/>
      <c r="AU258" s="285"/>
      <c r="AV258" s="285"/>
      <c r="AW258" s="285"/>
      <c r="AX258" s="285"/>
      <c r="AY258" s="285"/>
      <c r="AZ258" s="285"/>
      <c r="BA258" s="285"/>
      <c r="BB258" s="285"/>
      <c r="BC258" s="285"/>
      <c r="BD258" s="285"/>
      <c r="BE258" s="285"/>
      <c r="BF258" s="285"/>
      <c r="BG258" s="285"/>
      <c r="BH258" s="285"/>
      <c r="BI258" s="285"/>
      <c r="BJ258" s="285"/>
      <c r="BK258" s="285"/>
      <c r="BL258" s="285"/>
      <c r="BM258" s="285"/>
      <c r="BN258" s="285"/>
      <c r="BO258" s="285"/>
      <c r="BP258" s="285"/>
      <c r="BQ258" s="285"/>
      <c r="BR258" s="285"/>
      <c r="BS258" s="285"/>
      <c r="BT258" s="285"/>
      <c r="BU258" s="285"/>
      <c r="BV258" s="285"/>
    </row>
    <row r="259" spans="2:74" s="526" customFormat="1" ht="45" customHeight="1" x14ac:dyDescent="0.2">
      <c r="B259" s="742"/>
      <c r="C259" s="743"/>
      <c r="D259" s="743"/>
      <c r="E259" s="743"/>
      <c r="F259" s="743"/>
      <c r="G259" s="743"/>
      <c r="H259" s="743"/>
      <c r="I259" s="743"/>
      <c r="J259" s="743"/>
      <c r="K259" s="514">
        <v>72154000</v>
      </c>
      <c r="L259" s="515" t="s">
        <v>602</v>
      </c>
      <c r="M259" s="516">
        <v>44348</v>
      </c>
      <c r="N259" s="516" t="s">
        <v>572</v>
      </c>
      <c r="O259" s="517" t="s">
        <v>307</v>
      </c>
      <c r="P259" s="517" t="s">
        <v>483</v>
      </c>
      <c r="Q259" s="518"/>
      <c r="R259" s="519">
        <f>130000000-80000000</f>
        <v>50000000</v>
      </c>
      <c r="S259" s="520" t="s">
        <v>350</v>
      </c>
      <c r="T259" s="521"/>
      <c r="U259" s="522" t="s">
        <v>221</v>
      </c>
      <c r="V259" s="523"/>
      <c r="W259" s="523"/>
      <c r="X259" s="524"/>
      <c r="Y259" s="524"/>
      <c r="Z259" s="524"/>
      <c r="AA259" s="524"/>
      <c r="AB259" s="524"/>
      <c r="AC259" s="524">
        <v>43333333.333333336</v>
      </c>
      <c r="AD259" s="524"/>
      <c r="AE259" s="524">
        <v>43333333.333333336</v>
      </c>
      <c r="AF259" s="524"/>
      <c r="AG259" s="524">
        <v>43333333.333333336</v>
      </c>
      <c r="AH259" s="525">
        <f t="shared" si="173"/>
        <v>130000000</v>
      </c>
      <c r="AI259" s="535">
        <v>50421</v>
      </c>
      <c r="AJ259" s="538">
        <v>44362</v>
      </c>
      <c r="AK259" s="536">
        <v>50000000</v>
      </c>
      <c r="AL259" s="536">
        <v>50000000</v>
      </c>
      <c r="AM259" s="536">
        <v>50000000</v>
      </c>
      <c r="AN259" s="532">
        <f>+R259-AL259</f>
        <v>0</v>
      </c>
      <c r="AO259" s="532">
        <f t="shared" ref="AO259" si="178">+AL259-AM259</f>
        <v>0</v>
      </c>
      <c r="AP259" s="532">
        <f>R259-AL259+AO259</f>
        <v>0</v>
      </c>
      <c r="AQ259" s="440"/>
      <c r="AR259" s="285"/>
      <c r="AS259" s="658"/>
      <c r="AT259" s="658"/>
      <c r="AU259" s="658"/>
      <c r="AV259" s="658"/>
      <c r="AW259" s="658"/>
      <c r="AX259" s="658"/>
      <c r="AY259" s="658"/>
      <c r="AZ259" s="658"/>
      <c r="BA259" s="658"/>
      <c r="BB259" s="658"/>
      <c r="BC259" s="658"/>
      <c r="BD259" s="658"/>
      <c r="BE259" s="658"/>
      <c r="BF259" s="658"/>
      <c r="BG259" s="658"/>
      <c r="BH259" s="658"/>
      <c r="BI259" s="658"/>
      <c r="BJ259" s="658"/>
      <c r="BK259" s="658"/>
      <c r="BL259" s="658"/>
      <c r="BM259" s="658"/>
      <c r="BN259" s="658"/>
      <c r="BO259" s="658"/>
      <c r="BP259" s="658"/>
      <c r="BQ259" s="658"/>
      <c r="BR259" s="658"/>
      <c r="BS259" s="658"/>
      <c r="BT259" s="658"/>
      <c r="BU259" s="658"/>
      <c r="BV259" s="658"/>
    </row>
    <row r="260" spans="2:74" s="440" customFormat="1" ht="60" customHeight="1" x14ac:dyDescent="0.2">
      <c r="B260" s="458"/>
      <c r="C260" s="459"/>
      <c r="D260" s="459"/>
      <c r="E260" s="459"/>
      <c r="F260" s="459"/>
      <c r="G260" s="459"/>
      <c r="H260" s="459"/>
      <c r="I260" s="459"/>
      <c r="J260" s="459"/>
      <c r="K260" s="447">
        <v>72102100</v>
      </c>
      <c r="L260" s="451" t="s">
        <v>524</v>
      </c>
      <c r="M260" s="134">
        <v>44317</v>
      </c>
      <c r="N260" s="134" t="s">
        <v>575</v>
      </c>
      <c r="O260" s="157" t="s">
        <v>307</v>
      </c>
      <c r="P260" s="157" t="s">
        <v>483</v>
      </c>
      <c r="Q260" s="434"/>
      <c r="R260" s="101">
        <v>40000000</v>
      </c>
      <c r="S260" s="453" t="s">
        <v>350</v>
      </c>
      <c r="T260" s="449"/>
      <c r="U260" s="461" t="s">
        <v>221</v>
      </c>
      <c r="V260" s="497"/>
      <c r="W260" s="497"/>
      <c r="X260" s="498"/>
      <c r="Y260" s="498"/>
      <c r="Z260" s="498"/>
      <c r="AA260" s="498"/>
      <c r="AB260" s="498"/>
      <c r="AC260" s="498">
        <v>13333333.333333334</v>
      </c>
      <c r="AD260" s="498"/>
      <c r="AE260" s="498">
        <v>13333333.333333334</v>
      </c>
      <c r="AF260" s="498"/>
      <c r="AG260" s="498">
        <v>13333333.333333334</v>
      </c>
      <c r="AH260" s="501">
        <f t="shared" si="173"/>
        <v>40000000</v>
      </c>
      <c r="AI260" s="535">
        <v>25521</v>
      </c>
      <c r="AJ260" s="538">
        <v>44266</v>
      </c>
      <c r="AK260" s="536">
        <v>40000000</v>
      </c>
      <c r="AL260" s="536">
        <v>19294660</v>
      </c>
      <c r="AM260" s="536">
        <v>19294660</v>
      </c>
      <c r="AN260" s="532">
        <f>+R260-AL260</f>
        <v>20705340</v>
      </c>
      <c r="AO260" s="532">
        <f t="shared" ref="AO260" si="179">+AL260-AM260</f>
        <v>0</v>
      </c>
      <c r="AP260" s="533">
        <f>R260-AL260+AO260</f>
        <v>20705340</v>
      </c>
      <c r="AR260" s="285"/>
      <c r="AS260" s="285"/>
      <c r="AT260" s="285"/>
      <c r="AU260" s="285"/>
      <c r="AV260" s="285"/>
      <c r="AW260" s="285"/>
      <c r="AX260" s="285"/>
      <c r="AY260" s="285"/>
      <c r="AZ260" s="285"/>
      <c r="BA260" s="285"/>
      <c r="BB260" s="285"/>
      <c r="BC260" s="285"/>
      <c r="BD260" s="285"/>
      <c r="BE260" s="285"/>
      <c r="BF260" s="285"/>
      <c r="BG260" s="285"/>
      <c r="BH260" s="285"/>
      <c r="BI260" s="285"/>
      <c r="BJ260" s="285"/>
      <c r="BK260" s="285"/>
      <c r="BL260" s="285"/>
      <c r="BM260" s="285"/>
      <c r="BN260" s="285"/>
      <c r="BO260" s="285"/>
      <c r="BP260" s="285"/>
      <c r="BQ260" s="285"/>
      <c r="BR260" s="285"/>
      <c r="BS260" s="285"/>
      <c r="BT260" s="285"/>
      <c r="BU260" s="285"/>
      <c r="BV260" s="285"/>
    </row>
    <row r="261" spans="2:74" ht="60" customHeight="1" x14ac:dyDescent="0.2">
      <c r="B261" s="428"/>
      <c r="C261" s="429"/>
      <c r="D261" s="429"/>
      <c r="E261" s="429"/>
      <c r="F261" s="429"/>
      <c r="G261" s="429"/>
      <c r="H261" s="429"/>
      <c r="I261" s="429"/>
      <c r="J261" s="429"/>
      <c r="K261" s="398">
        <v>76111500</v>
      </c>
      <c r="L261" s="400" t="s">
        <v>525</v>
      </c>
      <c r="M261" s="134">
        <v>44207</v>
      </c>
      <c r="N261" s="134" t="s">
        <v>540</v>
      </c>
      <c r="O261" s="157" t="s">
        <v>301</v>
      </c>
      <c r="P261" s="157" t="s">
        <v>340</v>
      </c>
      <c r="Q261" s="434"/>
      <c r="R261" s="101">
        <f>1325000000-16170000</f>
        <v>1308830000</v>
      </c>
      <c r="S261" s="453" t="s">
        <v>386</v>
      </c>
      <c r="T261" s="399"/>
      <c r="U261" s="253" t="s">
        <v>221</v>
      </c>
      <c r="V261" s="497">
        <v>57608696</v>
      </c>
      <c r="W261" s="497">
        <v>115217391.30434783</v>
      </c>
      <c r="X261" s="498">
        <v>115217391.30434783</v>
      </c>
      <c r="Y261" s="498">
        <v>115217391.30434783</v>
      </c>
      <c r="Z261" s="498">
        <v>115217391.30434783</v>
      </c>
      <c r="AA261" s="498">
        <v>115217391.30434783</v>
      </c>
      <c r="AB261" s="498">
        <v>115217391.30434783</v>
      </c>
      <c r="AC261" s="498">
        <v>115217391.30434783</v>
      </c>
      <c r="AD261" s="498">
        <v>115217391.30434783</v>
      </c>
      <c r="AE261" s="498">
        <v>115217391.30434783</v>
      </c>
      <c r="AF261" s="498">
        <v>115217391.30434783</v>
      </c>
      <c r="AG261" s="498">
        <v>115217391.30434783</v>
      </c>
      <c r="AH261" s="501">
        <f t="shared" si="173"/>
        <v>1325000000.347826</v>
      </c>
      <c r="AI261" s="535">
        <v>121</v>
      </c>
      <c r="AJ261" s="538">
        <v>44203</v>
      </c>
      <c r="AK261" s="536">
        <v>1325000000</v>
      </c>
      <c r="AL261" s="536">
        <v>1097833872.1500001</v>
      </c>
      <c r="AM261" s="536">
        <v>1099483042.1500001</v>
      </c>
      <c r="AN261" s="532">
        <f>+R261-AL261</f>
        <v>210996127.8499999</v>
      </c>
      <c r="AO261" s="532">
        <f>+AL261-AM261</f>
        <v>-1649170</v>
      </c>
      <c r="AP261" s="533">
        <f>R261-AL261+AO261</f>
        <v>209346957.8499999</v>
      </c>
      <c r="AQ261" s="440"/>
      <c r="AR261" s="285"/>
      <c r="AS261" s="285"/>
      <c r="AT261" s="285"/>
      <c r="AU261" s="285"/>
      <c r="AV261" s="285"/>
      <c r="AW261" s="285"/>
      <c r="AX261" s="285"/>
      <c r="AY261" s="285"/>
      <c r="AZ261" s="285"/>
      <c r="BA261" s="285"/>
      <c r="BB261" s="285"/>
      <c r="BC261" s="285"/>
      <c r="BD261" s="285"/>
      <c r="BE261" s="285"/>
      <c r="BF261" s="285"/>
      <c r="BG261" s="285"/>
      <c r="BH261" s="285"/>
      <c r="BI261" s="285"/>
      <c r="BJ261" s="285"/>
      <c r="BK261" s="285"/>
      <c r="BL261" s="285"/>
      <c r="BM261" s="285"/>
      <c r="BN261" s="285"/>
      <c r="BO261" s="285"/>
      <c r="BP261" s="285"/>
      <c r="BQ261" s="285"/>
      <c r="BR261" s="285"/>
      <c r="BS261" s="285"/>
      <c r="BT261" s="285"/>
      <c r="BU261" s="285"/>
      <c r="BV261" s="285"/>
    </row>
    <row r="262" spans="2:74" ht="45" x14ac:dyDescent="0.2">
      <c r="B262" s="31" t="s">
        <v>7</v>
      </c>
      <c r="C262" s="32" t="s">
        <v>27</v>
      </c>
      <c r="D262" s="32" t="s">
        <v>8</v>
      </c>
      <c r="E262" s="32" t="s">
        <v>20</v>
      </c>
      <c r="F262" s="32" t="s">
        <v>16</v>
      </c>
      <c r="G262" s="32" t="s">
        <v>15</v>
      </c>
      <c r="H262" s="32"/>
      <c r="I262" s="32"/>
      <c r="J262" s="202"/>
      <c r="K262" s="31"/>
      <c r="L262" s="416" t="s">
        <v>106</v>
      </c>
      <c r="M262" s="141"/>
      <c r="N262" s="141"/>
      <c r="O262" s="164"/>
      <c r="P262" s="164"/>
      <c r="Q262" s="434">
        <f>+Q263</f>
        <v>54600000</v>
      </c>
      <c r="R262" s="34">
        <f>+R263</f>
        <v>66170000</v>
      </c>
      <c r="S262" s="32"/>
      <c r="T262" s="35"/>
      <c r="U262" s="261"/>
      <c r="V262" s="497">
        <f>+V263</f>
        <v>0</v>
      </c>
      <c r="W262" s="497">
        <f>+W263</f>
        <v>0</v>
      </c>
      <c r="X262" s="498">
        <f>+X263</f>
        <v>0</v>
      </c>
      <c r="Y262" s="498">
        <f>+Y263</f>
        <v>0</v>
      </c>
      <c r="Z262" s="498">
        <f>+Z263</f>
        <v>0</v>
      </c>
      <c r="AA262" s="498">
        <f t="shared" ref="AA262:AG262" si="180">+AA263</f>
        <v>0</v>
      </c>
      <c r="AB262" s="498">
        <f t="shared" si="180"/>
        <v>19333333.333333336</v>
      </c>
      <c r="AC262" s="498">
        <f t="shared" si="180"/>
        <v>0</v>
      </c>
      <c r="AD262" s="498">
        <f t="shared" si="180"/>
        <v>15333333.333333334</v>
      </c>
      <c r="AE262" s="498">
        <f t="shared" si="180"/>
        <v>0</v>
      </c>
      <c r="AF262" s="498">
        <f t="shared" si="180"/>
        <v>15333333.333333334</v>
      </c>
      <c r="AG262" s="498">
        <f t="shared" si="180"/>
        <v>0</v>
      </c>
      <c r="AH262" s="501">
        <f t="shared" si="173"/>
        <v>50000000.000000007</v>
      </c>
      <c r="AI262" s="535"/>
      <c r="AJ262" s="535"/>
      <c r="AK262" s="536"/>
      <c r="AL262" s="536"/>
      <c r="AM262" s="536"/>
      <c r="AQ262" s="440"/>
      <c r="AR262" s="285"/>
      <c r="AS262" s="285"/>
      <c r="AT262" s="285"/>
      <c r="AU262" s="285"/>
      <c r="AV262" s="285"/>
      <c r="AW262" s="285"/>
      <c r="AX262" s="285"/>
      <c r="AY262" s="285"/>
      <c r="AZ262" s="285"/>
      <c r="BA262" s="285"/>
      <c r="BB262" s="285"/>
      <c r="BC262" s="285"/>
      <c r="BD262" s="285"/>
      <c r="BE262" s="285"/>
      <c r="BF262" s="285"/>
      <c r="BG262" s="285"/>
      <c r="BH262" s="285"/>
      <c r="BI262" s="285"/>
      <c r="BJ262" s="285"/>
      <c r="BK262" s="285"/>
      <c r="BL262" s="285"/>
      <c r="BM262" s="285"/>
      <c r="BN262" s="285"/>
      <c r="BO262" s="285"/>
      <c r="BP262" s="285"/>
      <c r="BQ262" s="285"/>
      <c r="BR262" s="285"/>
      <c r="BS262" s="285"/>
      <c r="BT262" s="285"/>
      <c r="BU262" s="285"/>
      <c r="BV262" s="285"/>
    </row>
    <row r="263" spans="2:74" ht="30" customHeight="1" x14ac:dyDescent="0.2">
      <c r="B263" s="397" t="s">
        <v>7</v>
      </c>
      <c r="C263" s="395" t="s">
        <v>27</v>
      </c>
      <c r="D263" s="395" t="s">
        <v>8</v>
      </c>
      <c r="E263" s="395" t="s">
        <v>20</v>
      </c>
      <c r="F263" s="395" t="s">
        <v>16</v>
      </c>
      <c r="G263" s="395" t="s">
        <v>15</v>
      </c>
      <c r="H263" s="395" t="s">
        <v>8</v>
      </c>
      <c r="I263" s="395"/>
      <c r="J263" s="405"/>
      <c r="K263" s="397"/>
      <c r="L263" s="404" t="s">
        <v>107</v>
      </c>
      <c r="M263" s="133"/>
      <c r="N263" s="133"/>
      <c r="O263" s="156"/>
      <c r="P263" s="156"/>
      <c r="Q263" s="434">
        <f>SUM(Q264:Q264)</f>
        <v>54600000</v>
      </c>
      <c r="R263" s="5">
        <f>SUM(R264:R264)</f>
        <v>66170000</v>
      </c>
      <c r="S263" s="181"/>
      <c r="T263" s="396"/>
      <c r="U263" s="245"/>
      <c r="V263" s="497">
        <f>SUM(V264:V264)</f>
        <v>0</v>
      </c>
      <c r="W263" s="497">
        <f>SUM(W264:W264)</f>
        <v>0</v>
      </c>
      <c r="X263" s="498">
        <f>SUM(X264:X264)</f>
        <v>0</v>
      </c>
      <c r="Y263" s="498">
        <f>SUM(Y264:Y264)</f>
        <v>0</v>
      </c>
      <c r="Z263" s="498">
        <f>SUM(Z264:Z264)</f>
        <v>0</v>
      </c>
      <c r="AA263" s="498">
        <f t="shared" ref="AA263:AG263" si="181">SUM(AA264:AA264)</f>
        <v>0</v>
      </c>
      <c r="AB263" s="498">
        <f t="shared" si="181"/>
        <v>19333333.333333336</v>
      </c>
      <c r="AC263" s="498">
        <f t="shared" si="181"/>
        <v>0</v>
      </c>
      <c r="AD263" s="498">
        <f t="shared" si="181"/>
        <v>15333333.333333334</v>
      </c>
      <c r="AE263" s="498">
        <f t="shared" si="181"/>
        <v>0</v>
      </c>
      <c r="AF263" s="498">
        <f t="shared" si="181"/>
        <v>15333333.333333334</v>
      </c>
      <c r="AG263" s="498">
        <f t="shared" si="181"/>
        <v>0</v>
      </c>
      <c r="AH263" s="501">
        <f t="shared" si="173"/>
        <v>50000000.000000007</v>
      </c>
      <c r="AI263" s="535"/>
      <c r="AJ263" s="535"/>
      <c r="AK263" s="536"/>
      <c r="AL263" s="536"/>
      <c r="AM263" s="536"/>
      <c r="AQ263" s="440"/>
      <c r="AR263" s="285"/>
      <c r="AS263" s="285"/>
      <c r="AT263" s="285"/>
      <c r="AU263" s="285"/>
      <c r="AV263" s="285"/>
      <c r="AW263" s="285"/>
      <c r="AX263" s="285"/>
      <c r="AY263" s="285"/>
      <c r="AZ263" s="285"/>
      <c r="BA263" s="285"/>
      <c r="BB263" s="285"/>
      <c r="BC263" s="285"/>
      <c r="BD263" s="285"/>
      <c r="BE263" s="285"/>
      <c r="BF263" s="285"/>
      <c r="BG263" s="285"/>
      <c r="BH263" s="285"/>
      <c r="BI263" s="285"/>
      <c r="BJ263" s="285"/>
      <c r="BK263" s="285"/>
      <c r="BL263" s="285"/>
      <c r="BM263" s="285"/>
      <c r="BN263" s="285"/>
      <c r="BO263" s="285"/>
      <c r="BP263" s="285"/>
      <c r="BQ263" s="285"/>
      <c r="BR263" s="285"/>
      <c r="BS263" s="285"/>
      <c r="BT263" s="285"/>
      <c r="BU263" s="285"/>
      <c r="BV263" s="285"/>
    </row>
    <row r="264" spans="2:74" ht="30" customHeight="1" x14ac:dyDescent="0.2">
      <c r="B264" s="397" t="s">
        <v>7</v>
      </c>
      <c r="C264" s="395" t="s">
        <v>27</v>
      </c>
      <c r="D264" s="395" t="s">
        <v>8</v>
      </c>
      <c r="E264" s="395" t="s">
        <v>20</v>
      </c>
      <c r="F264" s="395" t="s">
        <v>16</v>
      </c>
      <c r="G264" s="395" t="s">
        <v>15</v>
      </c>
      <c r="H264" s="395" t="s">
        <v>8</v>
      </c>
      <c r="I264" s="395" t="s">
        <v>34</v>
      </c>
      <c r="J264" s="405"/>
      <c r="K264" s="397"/>
      <c r="L264" s="404" t="s">
        <v>108</v>
      </c>
      <c r="M264" s="133"/>
      <c r="N264" s="133"/>
      <c r="O264" s="156"/>
      <c r="P264" s="156"/>
      <c r="Q264" s="434">
        <v>54600000</v>
      </c>
      <c r="R264" s="5">
        <f>SUM(R265:R266)</f>
        <v>66170000</v>
      </c>
      <c r="S264" s="403"/>
      <c r="T264" s="396"/>
      <c r="U264" s="245"/>
      <c r="V264" s="497">
        <f t="shared" ref="V264:AG264" si="182">SUM(V265:V266)</f>
        <v>0</v>
      </c>
      <c r="W264" s="497">
        <f t="shared" si="182"/>
        <v>0</v>
      </c>
      <c r="X264" s="498">
        <f t="shared" si="182"/>
        <v>0</v>
      </c>
      <c r="Y264" s="498">
        <f t="shared" si="182"/>
        <v>0</v>
      </c>
      <c r="Z264" s="498">
        <f t="shared" si="182"/>
        <v>0</v>
      </c>
      <c r="AA264" s="498">
        <f t="shared" si="182"/>
        <v>0</v>
      </c>
      <c r="AB264" s="498">
        <f t="shared" si="182"/>
        <v>19333333.333333336</v>
      </c>
      <c r="AC264" s="498">
        <f t="shared" si="182"/>
        <v>0</v>
      </c>
      <c r="AD264" s="498">
        <f t="shared" si="182"/>
        <v>15333333.333333334</v>
      </c>
      <c r="AE264" s="498">
        <f t="shared" si="182"/>
        <v>0</v>
      </c>
      <c r="AF264" s="498">
        <f t="shared" si="182"/>
        <v>15333333.333333334</v>
      </c>
      <c r="AG264" s="498">
        <f t="shared" si="182"/>
        <v>0</v>
      </c>
      <c r="AH264" s="501">
        <f t="shared" si="173"/>
        <v>50000000.000000007</v>
      </c>
      <c r="AI264" s="535"/>
      <c r="AJ264" s="535"/>
      <c r="AK264" s="536"/>
      <c r="AL264" s="536"/>
      <c r="AM264" s="536"/>
      <c r="AQ264" s="440"/>
      <c r="AR264" s="285"/>
      <c r="AS264" s="285"/>
      <c r="AT264" s="285"/>
      <c r="AU264" s="285"/>
      <c r="AV264" s="285"/>
      <c r="AW264" s="285"/>
      <c r="AX264" s="285"/>
      <c r="AY264" s="285"/>
      <c r="AZ264" s="285"/>
      <c r="BA264" s="285"/>
      <c r="BB264" s="285"/>
      <c r="BC264" s="285"/>
      <c r="BD264" s="285"/>
      <c r="BE264" s="285"/>
      <c r="BF264" s="285"/>
      <c r="BG264" s="285"/>
      <c r="BH264" s="285"/>
      <c r="BI264" s="285"/>
      <c r="BJ264" s="285"/>
      <c r="BK264" s="285"/>
      <c r="BL264" s="285"/>
      <c r="BM264" s="285"/>
      <c r="BN264" s="285"/>
      <c r="BO264" s="285"/>
      <c r="BP264" s="285"/>
      <c r="BQ264" s="285"/>
      <c r="BR264" s="285"/>
      <c r="BS264" s="285"/>
      <c r="BT264" s="285"/>
      <c r="BU264" s="285"/>
      <c r="BV264" s="285"/>
    </row>
    <row r="265" spans="2:74" ht="45" customHeight="1" x14ac:dyDescent="0.2">
      <c r="B265" s="682"/>
      <c r="C265" s="683"/>
      <c r="D265" s="683"/>
      <c r="E265" s="683"/>
      <c r="F265" s="683"/>
      <c r="G265" s="683"/>
      <c r="H265" s="683"/>
      <c r="I265" s="683"/>
      <c r="J265" s="683"/>
      <c r="K265" s="450" t="s">
        <v>482</v>
      </c>
      <c r="L265" s="400" t="s">
        <v>373</v>
      </c>
      <c r="M265" s="134">
        <v>44352</v>
      </c>
      <c r="N265" s="134" t="s">
        <v>572</v>
      </c>
      <c r="O265" s="157" t="s">
        <v>500</v>
      </c>
      <c r="P265" s="157" t="s">
        <v>496</v>
      </c>
      <c r="Q265" s="434"/>
      <c r="R265" s="101">
        <f>4000000+16170000</f>
        <v>20170000</v>
      </c>
      <c r="S265" s="453" t="s">
        <v>350</v>
      </c>
      <c r="T265" s="399"/>
      <c r="U265" s="253" t="s">
        <v>504</v>
      </c>
      <c r="V265" s="497"/>
      <c r="W265" s="497"/>
      <c r="X265" s="498"/>
      <c r="Y265" s="498"/>
      <c r="Z265" s="498"/>
      <c r="AA265" s="498"/>
      <c r="AB265" s="498">
        <v>4000000</v>
      </c>
      <c r="AC265" s="498"/>
      <c r="AD265" s="498"/>
      <c r="AE265" s="498"/>
      <c r="AF265" s="498"/>
      <c r="AG265" s="498"/>
      <c r="AH265" s="501">
        <f t="shared" si="173"/>
        <v>4000000</v>
      </c>
      <c r="AI265" s="535">
        <v>29921</v>
      </c>
      <c r="AJ265" s="538">
        <v>44281</v>
      </c>
      <c r="AK265" s="536">
        <v>20170000</v>
      </c>
      <c r="AL265" s="536">
        <v>20170000</v>
      </c>
      <c r="AM265" s="536">
        <v>20170000</v>
      </c>
      <c r="AN265" s="532">
        <f>+R265-AL265</f>
        <v>0</v>
      </c>
      <c r="AO265" s="532">
        <f t="shared" ref="AO265:AO266" si="183">+AL265-AM265</f>
        <v>0</v>
      </c>
      <c r="AP265" s="532">
        <f>R265-AL265+AO265</f>
        <v>0</v>
      </c>
      <c r="AQ265" s="440"/>
      <c r="AR265" s="285"/>
      <c r="AS265" s="285"/>
      <c r="AT265" s="285"/>
      <c r="AU265" s="285"/>
      <c r="AV265" s="285"/>
      <c r="AW265" s="285"/>
      <c r="AX265" s="285"/>
      <c r="AY265" s="285"/>
      <c r="AZ265" s="285"/>
      <c r="BA265" s="285"/>
      <c r="BB265" s="285"/>
      <c r="BC265" s="285"/>
      <c r="BD265" s="285"/>
      <c r="BE265" s="285"/>
      <c r="BF265" s="285"/>
      <c r="BG265" s="285"/>
      <c r="BH265" s="285"/>
      <c r="BI265" s="285"/>
      <c r="BJ265" s="285"/>
      <c r="BK265" s="285"/>
      <c r="BL265" s="285"/>
      <c r="BM265" s="285"/>
      <c r="BN265" s="285"/>
      <c r="BO265" s="285"/>
      <c r="BP265" s="285"/>
      <c r="BQ265" s="285"/>
      <c r="BR265" s="285"/>
      <c r="BS265" s="285"/>
      <c r="BT265" s="285"/>
      <c r="BU265" s="285"/>
      <c r="BV265" s="285"/>
    </row>
    <row r="266" spans="2:74" ht="45" customHeight="1" x14ac:dyDescent="0.2">
      <c r="B266" s="430"/>
      <c r="C266" s="431"/>
      <c r="D266" s="431"/>
      <c r="E266" s="431"/>
      <c r="F266" s="431"/>
      <c r="G266" s="431"/>
      <c r="H266" s="431"/>
      <c r="I266" s="431"/>
      <c r="J266" s="431"/>
      <c r="K266" s="398">
        <v>73152100</v>
      </c>
      <c r="L266" s="400" t="s">
        <v>526</v>
      </c>
      <c r="M266" s="134">
        <v>44287</v>
      </c>
      <c r="N266" s="134" t="s">
        <v>573</v>
      </c>
      <c r="O266" s="157" t="s">
        <v>527</v>
      </c>
      <c r="P266" s="157" t="s">
        <v>483</v>
      </c>
      <c r="Q266" s="434"/>
      <c r="R266" s="101">
        <v>46000000</v>
      </c>
      <c r="S266" s="402" t="s">
        <v>350</v>
      </c>
      <c r="T266" s="399"/>
      <c r="U266" s="253" t="s">
        <v>221</v>
      </c>
      <c r="V266" s="497"/>
      <c r="W266" s="497"/>
      <c r="X266" s="498"/>
      <c r="Y266" s="498"/>
      <c r="Z266" s="498"/>
      <c r="AA266" s="498"/>
      <c r="AB266" s="498">
        <v>15333333.333333334</v>
      </c>
      <c r="AC266" s="498"/>
      <c r="AD266" s="498">
        <v>15333333.333333334</v>
      </c>
      <c r="AE266" s="498"/>
      <c r="AF266" s="498">
        <v>15333333.333333334</v>
      </c>
      <c r="AG266" s="498"/>
      <c r="AH266" s="501">
        <f t="shared" si="173"/>
        <v>46000000</v>
      </c>
      <c r="AI266" s="535">
        <v>40021</v>
      </c>
      <c r="AJ266" s="538">
        <v>44322</v>
      </c>
      <c r="AK266" s="536">
        <v>46000000</v>
      </c>
      <c r="AL266" s="536">
        <v>46000000</v>
      </c>
      <c r="AM266" s="536">
        <v>46000000</v>
      </c>
      <c r="AN266" s="532">
        <f>+R266-AL266</f>
        <v>0</v>
      </c>
      <c r="AO266" s="532">
        <f t="shared" si="183"/>
        <v>0</v>
      </c>
      <c r="AP266" s="532">
        <f>R266-AL266+AO266</f>
        <v>0</v>
      </c>
      <c r="AQ266" s="440"/>
      <c r="AR266" s="285"/>
      <c r="AS266" s="285"/>
      <c r="AT266" s="285"/>
      <c r="AU266" s="285"/>
      <c r="AV266" s="285"/>
      <c r="AW266" s="285"/>
      <c r="AX266" s="285"/>
      <c r="AY266" s="285"/>
      <c r="AZ266" s="285"/>
      <c r="BA266" s="285"/>
      <c r="BB266" s="285"/>
      <c r="BC266" s="285"/>
      <c r="BD266" s="285"/>
      <c r="BE266" s="285"/>
      <c r="BF266" s="285"/>
      <c r="BG266" s="285"/>
      <c r="BH266" s="285"/>
      <c r="BI266" s="285"/>
      <c r="BJ266" s="285"/>
      <c r="BK266" s="285"/>
      <c r="BL266" s="285"/>
      <c r="BM266" s="285"/>
      <c r="BN266" s="285"/>
      <c r="BO266" s="285"/>
      <c r="BP266" s="285"/>
      <c r="BQ266" s="285"/>
      <c r="BR266" s="285"/>
      <c r="BS266" s="285"/>
      <c r="BT266" s="285"/>
      <c r="BU266" s="285"/>
      <c r="BV266" s="285"/>
    </row>
    <row r="267" spans="2:74" ht="15.75" customHeight="1" x14ac:dyDescent="0.25">
      <c r="B267" s="63" t="s">
        <v>7</v>
      </c>
      <c r="C267" s="64" t="s">
        <v>29</v>
      </c>
      <c r="D267" s="64"/>
      <c r="E267" s="64"/>
      <c r="F267" s="64"/>
      <c r="G267" s="64"/>
      <c r="H267" s="64"/>
      <c r="I267" s="64"/>
      <c r="J267" s="203"/>
      <c r="K267" s="63"/>
      <c r="L267" s="417" t="s">
        <v>123</v>
      </c>
      <c r="M267" s="142"/>
      <c r="N267" s="142"/>
      <c r="O267" s="165"/>
      <c r="P267" s="165"/>
      <c r="Q267" s="433">
        <f>+Q268+Q270</f>
        <v>5703000000</v>
      </c>
      <c r="R267" s="62">
        <f>+R268+R270</f>
        <v>5703000000</v>
      </c>
      <c r="S267" s="226"/>
      <c r="T267" s="65"/>
      <c r="U267" s="262"/>
      <c r="V267" s="495">
        <f>+V268+V270</f>
        <v>0</v>
      </c>
      <c r="W267" s="495">
        <f>+W268+W270</f>
        <v>509000000</v>
      </c>
      <c r="X267" s="496">
        <f>+X268+X270</f>
        <v>509000000</v>
      </c>
      <c r="Y267" s="496">
        <f>+Y268+Y270</f>
        <v>509000000</v>
      </c>
      <c r="Z267" s="496">
        <f>+Z268+Z270</f>
        <v>509000000</v>
      </c>
      <c r="AA267" s="496">
        <f t="shared" ref="AA267:AF267" si="184">+AA268+AA270</f>
        <v>509000000</v>
      </c>
      <c r="AB267" s="496">
        <f t="shared" si="184"/>
        <v>559000000</v>
      </c>
      <c r="AC267" s="496">
        <f t="shared" si="184"/>
        <v>509000000</v>
      </c>
      <c r="AD267" s="496">
        <f t="shared" si="184"/>
        <v>509000000</v>
      </c>
      <c r="AE267" s="496">
        <f t="shared" si="184"/>
        <v>509000000</v>
      </c>
      <c r="AF267" s="496">
        <f t="shared" si="184"/>
        <v>562000000</v>
      </c>
      <c r="AG267" s="496">
        <f t="shared" ref="AG267" si="185">+AG268+AG270</f>
        <v>510000000</v>
      </c>
      <c r="AH267" s="500">
        <f t="shared" si="173"/>
        <v>5703000000</v>
      </c>
      <c r="AI267" s="535"/>
      <c r="AJ267" s="535"/>
      <c r="AK267" s="536"/>
      <c r="AL267" s="536"/>
      <c r="AM267" s="536"/>
      <c r="AQ267" s="440"/>
      <c r="AR267" s="285"/>
      <c r="AS267" s="285"/>
      <c r="AT267" s="285"/>
      <c r="AU267" s="285"/>
      <c r="AV267" s="285"/>
      <c r="AW267" s="285"/>
      <c r="AX267" s="285"/>
      <c r="AY267" s="285"/>
      <c r="AZ267" s="285"/>
      <c r="BA267" s="285"/>
      <c r="BB267" s="285"/>
      <c r="BC267" s="285"/>
      <c r="BD267" s="285"/>
      <c r="BE267" s="285"/>
      <c r="BF267" s="285"/>
      <c r="BG267" s="285"/>
      <c r="BH267" s="285"/>
      <c r="BI267" s="285"/>
      <c r="BJ267" s="285"/>
      <c r="BK267" s="285"/>
      <c r="BL267" s="285"/>
      <c r="BM267" s="285"/>
      <c r="BN267" s="285"/>
      <c r="BO267" s="285"/>
      <c r="BP267" s="285"/>
      <c r="BQ267" s="285"/>
      <c r="BR267" s="285"/>
      <c r="BS267" s="285"/>
      <c r="BT267" s="285"/>
      <c r="BU267" s="285"/>
      <c r="BV267" s="285"/>
    </row>
    <row r="268" spans="2:74" ht="15.75" customHeight="1" x14ac:dyDescent="0.25">
      <c r="B268" s="71" t="s">
        <v>7</v>
      </c>
      <c r="C268" s="72" t="s">
        <v>29</v>
      </c>
      <c r="D268" s="72" t="s">
        <v>8</v>
      </c>
      <c r="E268" s="72"/>
      <c r="F268" s="72"/>
      <c r="G268" s="72"/>
      <c r="H268" s="72"/>
      <c r="I268" s="72"/>
      <c r="J268" s="204"/>
      <c r="K268" s="71"/>
      <c r="L268" s="418" t="s">
        <v>124</v>
      </c>
      <c r="M268" s="143"/>
      <c r="N268" s="143"/>
      <c r="O268" s="166"/>
      <c r="P268" s="166"/>
      <c r="Q268" s="433">
        <v>103000000</v>
      </c>
      <c r="R268" s="74">
        <f>SUM(R269:R269)</f>
        <v>103000000</v>
      </c>
      <c r="S268" s="72"/>
      <c r="T268" s="75"/>
      <c r="U268" s="263"/>
      <c r="V268" s="495">
        <f>SUM(V269:V269)</f>
        <v>0</v>
      </c>
      <c r="W268" s="495">
        <f>SUM(W269:W269)</f>
        <v>0</v>
      </c>
      <c r="X268" s="496">
        <f>SUM(X269:X269)</f>
        <v>0</v>
      </c>
      <c r="Y268" s="496">
        <f>SUM(Y269:Y269)</f>
        <v>0</v>
      </c>
      <c r="Z268" s="496">
        <f>SUM(Z269:Z269)</f>
        <v>0</v>
      </c>
      <c r="AA268" s="496">
        <f t="shared" ref="AA268:AG268" si="186">SUM(AA269:AA269)</f>
        <v>0</v>
      </c>
      <c r="AB268" s="496">
        <f t="shared" si="186"/>
        <v>50000000</v>
      </c>
      <c r="AC268" s="496">
        <f t="shared" si="186"/>
        <v>0</v>
      </c>
      <c r="AD268" s="496">
        <f t="shared" si="186"/>
        <v>0</v>
      </c>
      <c r="AE268" s="496">
        <f t="shared" si="186"/>
        <v>0</v>
      </c>
      <c r="AF268" s="496">
        <f t="shared" si="186"/>
        <v>53000000</v>
      </c>
      <c r="AG268" s="496">
        <f t="shared" si="186"/>
        <v>0</v>
      </c>
      <c r="AH268" s="500">
        <f t="shared" si="173"/>
        <v>103000000</v>
      </c>
      <c r="AI268" s="535"/>
      <c r="AJ268" s="535"/>
      <c r="AK268" s="536"/>
      <c r="AL268" s="536"/>
      <c r="AM268" s="536"/>
      <c r="AQ268" s="440"/>
      <c r="AR268" s="285"/>
      <c r="AS268" s="285"/>
      <c r="AT268" s="285"/>
      <c r="AU268" s="285"/>
      <c r="AV268" s="285"/>
      <c r="AW268" s="285"/>
      <c r="AX268" s="285"/>
      <c r="AY268" s="285"/>
      <c r="AZ268" s="285"/>
      <c r="BA268" s="285"/>
      <c r="BB268" s="285"/>
      <c r="BC268" s="285"/>
      <c r="BD268" s="285"/>
      <c r="BE268" s="285"/>
      <c r="BF268" s="285"/>
      <c r="BG268" s="285"/>
      <c r="BH268" s="285"/>
      <c r="BI268" s="285"/>
      <c r="BJ268" s="285"/>
      <c r="BK268" s="285"/>
      <c r="BL268" s="285"/>
      <c r="BM268" s="285"/>
      <c r="BN268" s="285"/>
      <c r="BO268" s="285"/>
      <c r="BP268" s="285"/>
      <c r="BQ268" s="285"/>
      <c r="BR268" s="285"/>
      <c r="BS268" s="285"/>
      <c r="BT268" s="285"/>
      <c r="BU268" s="285"/>
      <c r="BV268" s="285"/>
    </row>
    <row r="269" spans="2:74" ht="15.75" x14ac:dyDescent="0.2">
      <c r="B269" s="687"/>
      <c r="C269" s="688"/>
      <c r="D269" s="688"/>
      <c r="E269" s="688"/>
      <c r="F269" s="688"/>
      <c r="G269" s="688"/>
      <c r="H269" s="688"/>
      <c r="I269" s="688"/>
      <c r="J269" s="688"/>
      <c r="K269" s="122"/>
      <c r="L269" s="407" t="s">
        <v>124</v>
      </c>
      <c r="M269" s="157" t="s">
        <v>375</v>
      </c>
      <c r="N269" s="157" t="s">
        <v>375</v>
      </c>
      <c r="O269" s="157" t="s">
        <v>375</v>
      </c>
      <c r="P269" s="157" t="s">
        <v>375</v>
      </c>
      <c r="Q269" s="434"/>
      <c r="R269" s="564">
        <v>103000000</v>
      </c>
      <c r="S269" s="402" t="s">
        <v>386</v>
      </c>
      <c r="T269" s="123"/>
      <c r="U269" s="264" t="s">
        <v>194</v>
      </c>
      <c r="V269" s="497"/>
      <c r="W269" s="497"/>
      <c r="X269" s="498"/>
      <c r="Y269" s="498"/>
      <c r="Z269" s="498"/>
      <c r="AA269" s="498"/>
      <c r="AB269" s="498">
        <v>50000000</v>
      </c>
      <c r="AC269" s="498"/>
      <c r="AD269" s="498"/>
      <c r="AE269" s="498"/>
      <c r="AF269" s="498">
        <v>53000000</v>
      </c>
      <c r="AG269" s="498"/>
      <c r="AH269" s="501">
        <f t="shared" si="173"/>
        <v>103000000</v>
      </c>
      <c r="AI269" s="535" t="s">
        <v>604</v>
      </c>
      <c r="AJ269" s="535"/>
      <c r="AK269" s="536">
        <v>54558672</v>
      </c>
      <c r="AL269" s="536">
        <v>54558672</v>
      </c>
      <c r="AM269" s="536">
        <v>54558672</v>
      </c>
      <c r="AN269" s="532">
        <f>+R269-AL269</f>
        <v>48441328</v>
      </c>
      <c r="AO269" s="532">
        <f t="shared" ref="AO269" si="187">+AL269-AM269</f>
        <v>0</v>
      </c>
      <c r="AP269" s="533">
        <f>R269-AL269+AO269</f>
        <v>48441328</v>
      </c>
      <c r="AQ269" s="440"/>
      <c r="AR269" s="285"/>
      <c r="AS269" s="285"/>
      <c r="AT269" s="285"/>
      <c r="AU269" s="285"/>
      <c r="AV269" s="285"/>
      <c r="AW269" s="285"/>
      <c r="AX269" s="285"/>
      <c r="AY269" s="285"/>
      <c r="AZ269" s="285"/>
      <c r="BA269" s="285"/>
      <c r="BB269" s="285"/>
      <c r="BC269" s="285"/>
      <c r="BD269" s="285"/>
      <c r="BE269" s="285"/>
      <c r="BF269" s="285"/>
      <c r="BG269" s="285"/>
      <c r="BH269" s="285"/>
      <c r="BI269" s="285"/>
      <c r="BJ269" s="285"/>
      <c r="BK269" s="285"/>
      <c r="BL269" s="285"/>
      <c r="BM269" s="285"/>
      <c r="BN269" s="285"/>
      <c r="BO269" s="285"/>
      <c r="BP269" s="285"/>
      <c r="BQ269" s="285"/>
      <c r="BR269" s="285"/>
      <c r="BS269" s="285"/>
      <c r="BT269" s="285"/>
      <c r="BU269" s="285"/>
      <c r="BV269" s="285"/>
    </row>
    <row r="270" spans="2:74" ht="15.75" customHeight="1" x14ac:dyDescent="0.25">
      <c r="B270" s="71" t="s">
        <v>7</v>
      </c>
      <c r="C270" s="72" t="s">
        <v>29</v>
      </c>
      <c r="D270" s="72" t="s">
        <v>23</v>
      </c>
      <c r="E270" s="72"/>
      <c r="F270" s="72"/>
      <c r="G270" s="72"/>
      <c r="H270" s="72"/>
      <c r="I270" s="72"/>
      <c r="J270" s="204"/>
      <c r="K270" s="71"/>
      <c r="L270" s="418" t="s">
        <v>125</v>
      </c>
      <c r="M270" s="143"/>
      <c r="N270" s="143"/>
      <c r="O270" s="166"/>
      <c r="P270" s="166"/>
      <c r="Q270" s="433">
        <v>5600000000</v>
      </c>
      <c r="R270" s="74">
        <f>SUM(R271:R271)</f>
        <v>5600000000</v>
      </c>
      <c r="S270" s="72"/>
      <c r="T270" s="75"/>
      <c r="U270" s="263"/>
      <c r="V270" s="495">
        <f>SUM(V271:V271)</f>
        <v>0</v>
      </c>
      <c r="W270" s="495">
        <f>SUM(W271:W271)</f>
        <v>509000000</v>
      </c>
      <c r="X270" s="496">
        <f>SUM(X271:X271)</f>
        <v>509000000</v>
      </c>
      <c r="Y270" s="496">
        <f>SUM(Y271:Y271)</f>
        <v>509000000</v>
      </c>
      <c r="Z270" s="496">
        <f>SUM(Z271:Z271)</f>
        <v>509000000</v>
      </c>
      <c r="AA270" s="496">
        <f t="shared" ref="AA270:AG270" si="188">SUM(AA271:AA271)</f>
        <v>509000000</v>
      </c>
      <c r="AB270" s="496">
        <f t="shared" si="188"/>
        <v>509000000</v>
      </c>
      <c r="AC270" s="496">
        <f t="shared" si="188"/>
        <v>509000000</v>
      </c>
      <c r="AD270" s="496">
        <f t="shared" si="188"/>
        <v>509000000</v>
      </c>
      <c r="AE270" s="496">
        <f t="shared" si="188"/>
        <v>509000000</v>
      </c>
      <c r="AF270" s="496">
        <f t="shared" si="188"/>
        <v>509000000</v>
      </c>
      <c r="AG270" s="496">
        <f t="shared" si="188"/>
        <v>510000000</v>
      </c>
      <c r="AH270" s="500">
        <f t="shared" si="173"/>
        <v>5600000000</v>
      </c>
      <c r="AI270" s="535"/>
      <c r="AJ270" s="535"/>
      <c r="AK270" s="536"/>
      <c r="AL270" s="536"/>
      <c r="AM270" s="536"/>
      <c r="AQ270" s="440"/>
      <c r="AR270" s="285"/>
      <c r="AS270" s="285"/>
      <c r="AT270" s="285"/>
      <c r="AU270" s="285"/>
      <c r="AV270" s="285"/>
      <c r="AW270" s="285"/>
      <c r="AX270" s="285"/>
      <c r="AY270" s="285"/>
      <c r="AZ270" s="285"/>
      <c r="BA270" s="285"/>
      <c r="BB270" s="285"/>
      <c r="BC270" s="285"/>
      <c r="BD270" s="285"/>
      <c r="BE270" s="285"/>
      <c r="BF270" s="285"/>
      <c r="BG270" s="285"/>
      <c r="BH270" s="285"/>
      <c r="BI270" s="285"/>
      <c r="BJ270" s="285"/>
      <c r="BK270" s="285"/>
      <c r="BL270" s="285"/>
      <c r="BM270" s="285"/>
      <c r="BN270" s="285"/>
      <c r="BO270" s="285"/>
      <c r="BP270" s="285"/>
      <c r="BQ270" s="285"/>
      <c r="BR270" s="285"/>
      <c r="BS270" s="285"/>
      <c r="BT270" s="285"/>
      <c r="BU270" s="285"/>
      <c r="BV270" s="285"/>
    </row>
    <row r="271" spans="2:74" ht="15.75" x14ac:dyDescent="0.2">
      <c r="B271" s="687"/>
      <c r="C271" s="688"/>
      <c r="D271" s="688"/>
      <c r="E271" s="688"/>
      <c r="F271" s="688"/>
      <c r="G271" s="688"/>
      <c r="H271" s="688"/>
      <c r="I271" s="688"/>
      <c r="J271" s="688"/>
      <c r="K271" s="122"/>
      <c r="L271" s="407" t="s">
        <v>261</v>
      </c>
      <c r="M271" s="157" t="s">
        <v>375</v>
      </c>
      <c r="N271" s="157" t="s">
        <v>375</v>
      </c>
      <c r="O271" s="157" t="s">
        <v>375</v>
      </c>
      <c r="P271" s="157" t="s">
        <v>375</v>
      </c>
      <c r="Q271" s="434"/>
      <c r="R271" s="101">
        <v>5600000000</v>
      </c>
      <c r="S271" s="402" t="s">
        <v>386</v>
      </c>
      <c r="T271" s="123"/>
      <c r="U271" s="264" t="s">
        <v>271</v>
      </c>
      <c r="V271" s="497"/>
      <c r="W271" s="497">
        <v>509000000</v>
      </c>
      <c r="X271" s="497">
        <v>509000000</v>
      </c>
      <c r="Y271" s="497">
        <v>509000000</v>
      </c>
      <c r="Z271" s="497">
        <v>509000000</v>
      </c>
      <c r="AA271" s="497">
        <v>509000000</v>
      </c>
      <c r="AB271" s="497">
        <v>509000000</v>
      </c>
      <c r="AC271" s="497">
        <v>509000000</v>
      </c>
      <c r="AD271" s="497">
        <v>509000000</v>
      </c>
      <c r="AE271" s="497">
        <v>509000000</v>
      </c>
      <c r="AF271" s="497">
        <v>509000000</v>
      </c>
      <c r="AG271" s="497">
        <v>510000000</v>
      </c>
      <c r="AH271" s="501">
        <f t="shared" si="173"/>
        <v>5600000000</v>
      </c>
      <c r="AI271" s="535"/>
      <c r="AJ271" s="535"/>
      <c r="AK271" s="536">
        <v>1388807497.3099999</v>
      </c>
      <c r="AL271" s="536">
        <v>1388807497.3099999</v>
      </c>
      <c r="AM271" s="536">
        <v>1388807497.3099999</v>
      </c>
      <c r="AN271" s="532">
        <f>+R271-AL271</f>
        <v>4211192502.6900001</v>
      </c>
      <c r="AO271" s="532">
        <f t="shared" ref="AO271" si="189">+AL271-AM271</f>
        <v>0</v>
      </c>
      <c r="AP271" s="533">
        <f>R271-AL271+AO271</f>
        <v>4211192502.6900001</v>
      </c>
      <c r="AQ271" s="440"/>
      <c r="AR271" s="285"/>
      <c r="AS271" s="285"/>
      <c r="AT271" s="285"/>
      <c r="AU271" s="285"/>
      <c r="AV271" s="285"/>
      <c r="AW271" s="285"/>
      <c r="AX271" s="285"/>
      <c r="AY271" s="285"/>
      <c r="AZ271" s="285"/>
      <c r="BA271" s="285"/>
      <c r="BB271" s="285"/>
      <c r="BC271" s="285"/>
      <c r="BD271" s="285"/>
      <c r="BE271" s="285"/>
      <c r="BF271" s="285"/>
      <c r="BG271" s="285"/>
      <c r="BH271" s="285"/>
      <c r="BI271" s="285"/>
      <c r="BJ271" s="285"/>
      <c r="BK271" s="285"/>
      <c r="BL271" s="285"/>
      <c r="BM271" s="285"/>
      <c r="BN271" s="285"/>
      <c r="BO271" s="285"/>
      <c r="BP271" s="285"/>
      <c r="BQ271" s="285"/>
      <c r="BR271" s="285"/>
      <c r="BS271" s="285"/>
      <c r="BT271" s="285"/>
      <c r="BU271" s="285"/>
      <c r="BV271" s="285"/>
    </row>
    <row r="272" spans="2:74" ht="15.6" customHeight="1" x14ac:dyDescent="0.25">
      <c r="B272" s="78" t="s">
        <v>7</v>
      </c>
      <c r="C272" s="79" t="s">
        <v>30</v>
      </c>
      <c r="D272" s="79"/>
      <c r="E272" s="79"/>
      <c r="F272" s="79"/>
      <c r="G272" s="79"/>
      <c r="H272" s="79"/>
      <c r="I272" s="79"/>
      <c r="J272" s="205"/>
      <c r="K272" s="78"/>
      <c r="L272" s="419" t="s">
        <v>126</v>
      </c>
      <c r="M272" s="144"/>
      <c r="N272" s="144"/>
      <c r="O272" s="167"/>
      <c r="P272" s="167"/>
      <c r="Q272" s="433">
        <f>+Q273+Q281</f>
        <v>3600000000</v>
      </c>
      <c r="R272" s="77">
        <f>+R273+R281</f>
        <v>3600000000</v>
      </c>
      <c r="S272" s="79"/>
      <c r="T272" s="80"/>
      <c r="U272" s="265"/>
      <c r="V272" s="495">
        <f>+V273+V281</f>
        <v>0</v>
      </c>
      <c r="W272" s="495">
        <f>+W273+W281</f>
        <v>1200000000</v>
      </c>
      <c r="X272" s="496">
        <f>+X273+X281</f>
        <v>2068400000</v>
      </c>
      <c r="Y272" s="496">
        <f>+Y273+Y281</f>
        <v>102600000</v>
      </c>
      <c r="Z272" s="496">
        <f>+Z273+Z281</f>
        <v>0</v>
      </c>
      <c r="AA272" s="496">
        <f t="shared" ref="AA272:AF272" si="190">+AA273+AA281</f>
        <v>113000000</v>
      </c>
      <c r="AB272" s="496">
        <f t="shared" si="190"/>
        <v>116000000</v>
      </c>
      <c r="AC272" s="496">
        <f t="shared" si="190"/>
        <v>0</v>
      </c>
      <c r="AD272" s="496">
        <f t="shared" si="190"/>
        <v>0</v>
      </c>
      <c r="AE272" s="496">
        <f t="shared" si="190"/>
        <v>0</v>
      </c>
      <c r="AF272" s="496">
        <f t="shared" si="190"/>
        <v>0</v>
      </c>
      <c r="AG272" s="496">
        <f t="shared" ref="AG272" si="191">+AG273+AG281</f>
        <v>0</v>
      </c>
      <c r="AH272" s="500">
        <f t="shared" si="173"/>
        <v>3600000000</v>
      </c>
      <c r="AI272" s="535"/>
      <c r="AJ272" s="535"/>
      <c r="AK272" s="536"/>
      <c r="AL272" s="536"/>
      <c r="AM272" s="536"/>
      <c r="AQ272" s="440"/>
      <c r="AR272" s="285"/>
      <c r="AS272" s="285"/>
      <c r="AT272" s="285"/>
      <c r="AU272" s="285"/>
      <c r="AV272" s="285"/>
      <c r="AW272" s="285"/>
      <c r="AX272" s="285"/>
      <c r="AY272" s="285"/>
      <c r="AZ272" s="285"/>
      <c r="BA272" s="285"/>
      <c r="BB272" s="285"/>
      <c r="BC272" s="285"/>
      <c r="BD272" s="285"/>
      <c r="BE272" s="285"/>
      <c r="BF272" s="285"/>
      <c r="BG272" s="285"/>
      <c r="BH272" s="285"/>
      <c r="BI272" s="285"/>
      <c r="BJ272" s="285"/>
      <c r="BK272" s="285"/>
      <c r="BL272" s="285"/>
      <c r="BM272" s="285"/>
      <c r="BN272" s="285"/>
      <c r="BO272" s="285"/>
      <c r="BP272" s="285"/>
      <c r="BQ272" s="285"/>
      <c r="BR272" s="285"/>
      <c r="BS272" s="285"/>
      <c r="BT272" s="285"/>
      <c r="BU272" s="285"/>
      <c r="BV272" s="285"/>
    </row>
    <row r="273" spans="2:74" ht="15.75" customHeight="1" x14ac:dyDescent="0.25">
      <c r="B273" s="81" t="s">
        <v>7</v>
      </c>
      <c r="C273" s="82" t="s">
        <v>30</v>
      </c>
      <c r="D273" s="82" t="s">
        <v>8</v>
      </c>
      <c r="E273" s="82"/>
      <c r="F273" s="82"/>
      <c r="G273" s="82"/>
      <c r="H273" s="82"/>
      <c r="I273" s="82"/>
      <c r="J273" s="206"/>
      <c r="K273" s="81"/>
      <c r="L273" s="420" t="s">
        <v>127</v>
      </c>
      <c r="M273" s="145"/>
      <c r="N273" s="145"/>
      <c r="O273" s="168"/>
      <c r="P273" s="168"/>
      <c r="Q273" s="433">
        <f>+Q274</f>
        <v>3271000000</v>
      </c>
      <c r="R273" s="84">
        <f>+R274</f>
        <v>3271000000</v>
      </c>
      <c r="S273" s="82"/>
      <c r="T273" s="85"/>
      <c r="U273" s="266"/>
      <c r="V273" s="495">
        <f>+V274</f>
        <v>0</v>
      </c>
      <c r="W273" s="495">
        <f>+W274</f>
        <v>1200000000</v>
      </c>
      <c r="X273" s="496">
        <f>+X274</f>
        <v>2068400000</v>
      </c>
      <c r="Y273" s="496">
        <f>+Y274</f>
        <v>2600000</v>
      </c>
      <c r="Z273" s="496">
        <f>+Z274</f>
        <v>0</v>
      </c>
      <c r="AA273" s="496">
        <f t="shared" ref="AA273:AG273" si="192">+AA274</f>
        <v>0</v>
      </c>
      <c r="AB273" s="496">
        <f t="shared" si="192"/>
        <v>0</v>
      </c>
      <c r="AC273" s="496">
        <f t="shared" si="192"/>
        <v>0</v>
      </c>
      <c r="AD273" s="496">
        <f t="shared" si="192"/>
        <v>0</v>
      </c>
      <c r="AE273" s="496">
        <f t="shared" si="192"/>
        <v>0</v>
      </c>
      <c r="AF273" s="496">
        <f t="shared" si="192"/>
        <v>0</v>
      </c>
      <c r="AG273" s="496">
        <f t="shared" si="192"/>
        <v>0</v>
      </c>
      <c r="AH273" s="500">
        <f t="shared" si="173"/>
        <v>3271000000</v>
      </c>
      <c r="AI273" s="535"/>
      <c r="AJ273" s="535"/>
      <c r="AK273" s="536"/>
      <c r="AL273" s="536"/>
      <c r="AM273" s="536"/>
      <c r="AQ273" s="440"/>
      <c r="AR273" s="285"/>
      <c r="AS273" s="285"/>
      <c r="AT273" s="285"/>
      <c r="AU273" s="285"/>
      <c r="AV273" s="285"/>
      <c r="AW273" s="285"/>
      <c r="AX273" s="285"/>
      <c r="AY273" s="285"/>
      <c r="AZ273" s="285"/>
      <c r="BA273" s="285"/>
      <c r="BB273" s="285"/>
      <c r="BC273" s="285"/>
      <c r="BD273" s="285"/>
      <c r="BE273" s="285"/>
      <c r="BF273" s="285"/>
      <c r="BG273" s="285"/>
      <c r="BH273" s="285"/>
      <c r="BI273" s="285"/>
      <c r="BJ273" s="285"/>
      <c r="BK273" s="285"/>
      <c r="BL273" s="285"/>
      <c r="BM273" s="285"/>
      <c r="BN273" s="285"/>
      <c r="BO273" s="285"/>
      <c r="BP273" s="285"/>
      <c r="BQ273" s="285"/>
      <c r="BR273" s="285"/>
      <c r="BS273" s="285"/>
      <c r="BT273" s="285"/>
      <c r="BU273" s="285"/>
      <c r="BV273" s="285"/>
    </row>
    <row r="274" spans="2:74" ht="15" customHeight="1" x14ac:dyDescent="0.2">
      <c r="B274" s="66" t="s">
        <v>7</v>
      </c>
      <c r="C274" s="67" t="s">
        <v>30</v>
      </c>
      <c r="D274" s="67" t="s">
        <v>8</v>
      </c>
      <c r="E274" s="67" t="s">
        <v>20</v>
      </c>
      <c r="F274" s="67"/>
      <c r="G274" s="67"/>
      <c r="H274" s="67"/>
      <c r="I274" s="67"/>
      <c r="J274" s="207"/>
      <c r="K274" s="66"/>
      <c r="L274" s="421" t="s">
        <v>128</v>
      </c>
      <c r="M274" s="146"/>
      <c r="N274" s="146"/>
      <c r="O274" s="169"/>
      <c r="P274" s="169"/>
      <c r="Q274" s="434">
        <f>+Q275+Q277+Q279</f>
        <v>3271000000</v>
      </c>
      <c r="R274" s="69">
        <f>+R275+R277+R279</f>
        <v>3271000000</v>
      </c>
      <c r="S274" s="67"/>
      <c r="T274" s="70"/>
      <c r="U274" s="267"/>
      <c r="V274" s="497">
        <f>+V275+V277+V279</f>
        <v>0</v>
      </c>
      <c r="W274" s="497">
        <f>+W275+W277+W279</f>
        <v>1200000000</v>
      </c>
      <c r="X274" s="498">
        <f>+X275+X277+X279</f>
        <v>2068400000</v>
      </c>
      <c r="Y274" s="498">
        <f>+Y275+Y277+Y279</f>
        <v>2600000</v>
      </c>
      <c r="Z274" s="498">
        <f>+Z275+Z277+Z279</f>
        <v>0</v>
      </c>
      <c r="AA274" s="498">
        <f t="shared" ref="AA274:AF274" si="193">+AA275+AA277+AA279</f>
        <v>0</v>
      </c>
      <c r="AB274" s="498">
        <f t="shared" si="193"/>
        <v>0</v>
      </c>
      <c r="AC274" s="498">
        <f t="shared" si="193"/>
        <v>0</v>
      </c>
      <c r="AD274" s="498">
        <f t="shared" si="193"/>
        <v>0</v>
      </c>
      <c r="AE274" s="498">
        <f t="shared" si="193"/>
        <v>0</v>
      </c>
      <c r="AF274" s="498">
        <f t="shared" si="193"/>
        <v>0</v>
      </c>
      <c r="AG274" s="498">
        <f t="shared" ref="AG274" si="194">+AG275+AG277+AG279</f>
        <v>0</v>
      </c>
      <c r="AH274" s="501">
        <f t="shared" si="173"/>
        <v>3271000000</v>
      </c>
      <c r="AI274" s="535"/>
      <c r="AJ274" s="535"/>
      <c r="AK274" s="536"/>
      <c r="AL274" s="536"/>
      <c r="AM274" s="536"/>
      <c r="AQ274" s="440"/>
      <c r="AR274" s="285"/>
      <c r="AS274" s="285"/>
      <c r="AT274" s="285"/>
      <c r="AU274" s="285"/>
      <c r="AV274" s="285"/>
      <c r="AW274" s="285"/>
      <c r="AX274" s="285"/>
      <c r="AY274" s="285"/>
      <c r="AZ274" s="285"/>
      <c r="BA274" s="285"/>
      <c r="BB274" s="285"/>
      <c r="BC274" s="285"/>
      <c r="BD274" s="285"/>
      <c r="BE274" s="285"/>
      <c r="BF274" s="285"/>
      <c r="BG274" s="285"/>
      <c r="BH274" s="285"/>
      <c r="BI274" s="285"/>
      <c r="BJ274" s="285"/>
      <c r="BK274" s="285"/>
      <c r="BL274" s="285"/>
      <c r="BM274" s="285"/>
      <c r="BN274" s="285"/>
      <c r="BO274" s="285"/>
      <c r="BP274" s="285"/>
      <c r="BQ274" s="285"/>
      <c r="BR274" s="285"/>
      <c r="BS274" s="285"/>
      <c r="BT274" s="285"/>
      <c r="BU274" s="285"/>
      <c r="BV274" s="285"/>
    </row>
    <row r="275" spans="2:74" ht="15" customHeight="1" x14ac:dyDescent="0.2">
      <c r="B275" s="13" t="s">
        <v>7</v>
      </c>
      <c r="C275" s="14" t="s">
        <v>30</v>
      </c>
      <c r="D275" s="14" t="s">
        <v>8</v>
      </c>
      <c r="E275" s="14" t="s">
        <v>20</v>
      </c>
      <c r="F275" s="14" t="s">
        <v>9</v>
      </c>
      <c r="G275" s="14"/>
      <c r="H275" s="14"/>
      <c r="I275" s="14"/>
      <c r="J275" s="195"/>
      <c r="K275" s="13"/>
      <c r="L275" s="411" t="s">
        <v>129</v>
      </c>
      <c r="M275" s="131"/>
      <c r="N275" s="131"/>
      <c r="O275" s="154"/>
      <c r="P275" s="154"/>
      <c r="Q275" s="434">
        <v>3200000000</v>
      </c>
      <c r="R275" s="16">
        <f>SUM(R276:R276)</f>
        <v>3200000000</v>
      </c>
      <c r="S275" s="14"/>
      <c r="T275" s="17"/>
      <c r="U275" s="252"/>
      <c r="V275" s="497">
        <f>SUM(V276:V276)</f>
        <v>0</v>
      </c>
      <c r="W275" s="497">
        <f>SUM(W276:W276)</f>
        <v>1200000000</v>
      </c>
      <c r="X275" s="498">
        <f>SUM(X276:X276)</f>
        <v>2000000000</v>
      </c>
      <c r="Y275" s="498">
        <f>SUM(Y276:Y276)</f>
        <v>0</v>
      </c>
      <c r="Z275" s="498">
        <f>SUM(Z276:Z276)</f>
        <v>0</v>
      </c>
      <c r="AA275" s="498">
        <f t="shared" ref="AA275:AG275" si="195">SUM(AA276:AA276)</f>
        <v>0</v>
      </c>
      <c r="AB275" s="498">
        <f t="shared" si="195"/>
        <v>0</v>
      </c>
      <c r="AC275" s="498">
        <f t="shared" si="195"/>
        <v>0</v>
      </c>
      <c r="AD275" s="498">
        <f t="shared" si="195"/>
        <v>0</v>
      </c>
      <c r="AE275" s="498">
        <f t="shared" si="195"/>
        <v>0</v>
      </c>
      <c r="AF275" s="498">
        <f t="shared" si="195"/>
        <v>0</v>
      </c>
      <c r="AG275" s="498">
        <f t="shared" si="195"/>
        <v>0</v>
      </c>
      <c r="AH275" s="501">
        <f t="shared" si="173"/>
        <v>3200000000</v>
      </c>
      <c r="AI275" s="535"/>
      <c r="AJ275" s="535"/>
      <c r="AK275" s="536"/>
      <c r="AL275" s="536"/>
      <c r="AM275" s="536"/>
      <c r="AQ275" s="440"/>
      <c r="AR275" s="285"/>
      <c r="AS275" s="285"/>
      <c r="AT275" s="285"/>
      <c r="AU275" s="285"/>
      <c r="AV275" s="285"/>
      <c r="AW275" s="285"/>
      <c r="AX275" s="285"/>
      <c r="AY275" s="285"/>
      <c r="AZ275" s="285"/>
      <c r="BA275" s="285"/>
      <c r="BB275" s="285"/>
      <c r="BC275" s="285"/>
      <c r="BD275" s="285"/>
      <c r="BE275" s="285"/>
      <c r="BF275" s="285"/>
      <c r="BG275" s="285"/>
      <c r="BH275" s="285"/>
      <c r="BI275" s="285"/>
      <c r="BJ275" s="285"/>
      <c r="BK275" s="285"/>
      <c r="BL275" s="285"/>
      <c r="BM275" s="285"/>
      <c r="BN275" s="285"/>
      <c r="BO275" s="285"/>
      <c r="BP275" s="285"/>
      <c r="BQ275" s="285"/>
      <c r="BR275" s="285"/>
      <c r="BS275" s="285"/>
      <c r="BT275" s="285"/>
      <c r="BU275" s="285"/>
      <c r="BV275" s="285"/>
    </row>
    <row r="276" spans="2:74" ht="28.5" customHeight="1" x14ac:dyDescent="0.2">
      <c r="B276" s="677"/>
      <c r="C276" s="678"/>
      <c r="D276" s="678"/>
      <c r="E276" s="678"/>
      <c r="F276" s="678"/>
      <c r="G276" s="678"/>
      <c r="H276" s="678"/>
      <c r="I276" s="678"/>
      <c r="J276" s="678"/>
      <c r="K276" s="122"/>
      <c r="L276" s="407" t="s">
        <v>129</v>
      </c>
      <c r="M276" s="157" t="s">
        <v>375</v>
      </c>
      <c r="N276" s="157" t="s">
        <v>375</v>
      </c>
      <c r="O276" s="157" t="s">
        <v>375</v>
      </c>
      <c r="P276" s="157" t="s">
        <v>375</v>
      </c>
      <c r="Q276" s="434"/>
      <c r="R276" s="101">
        <v>3200000000</v>
      </c>
      <c r="S276" s="402" t="s">
        <v>386</v>
      </c>
      <c r="T276" s="123"/>
      <c r="U276" s="264" t="s">
        <v>268</v>
      </c>
      <c r="V276" s="497">
        <v>0</v>
      </c>
      <c r="W276" s="497">
        <v>1200000000</v>
      </c>
      <c r="X276" s="498">
        <v>2000000000</v>
      </c>
      <c r="Y276" s="498"/>
      <c r="Z276" s="498"/>
      <c r="AA276" s="498"/>
      <c r="AB276" s="498"/>
      <c r="AC276" s="498"/>
      <c r="AD276" s="498"/>
      <c r="AE276" s="498"/>
      <c r="AF276" s="498"/>
      <c r="AG276" s="498"/>
      <c r="AH276" s="501">
        <f t="shared" si="173"/>
        <v>3200000000</v>
      </c>
      <c r="AI276" s="535" t="s">
        <v>605</v>
      </c>
      <c r="AJ276" s="535" t="s">
        <v>430</v>
      </c>
      <c r="AK276" s="536">
        <v>2903248544</v>
      </c>
      <c r="AL276" s="536">
        <v>2903248544</v>
      </c>
      <c r="AM276" s="536">
        <v>2903248544</v>
      </c>
      <c r="AN276" s="532">
        <f>+R276-AL276</f>
        <v>296751456</v>
      </c>
      <c r="AO276" s="532">
        <f>+AL276-AM276</f>
        <v>0</v>
      </c>
      <c r="AP276" s="533">
        <f>R276-AL276+AO276</f>
        <v>296751456</v>
      </c>
      <c r="AQ276" s="440"/>
      <c r="AR276" s="285"/>
      <c r="AS276" s="285"/>
      <c r="AT276" s="285"/>
      <c r="AU276" s="285"/>
      <c r="AV276" s="285"/>
      <c r="AW276" s="285"/>
      <c r="AX276" s="285"/>
      <c r="AY276" s="285"/>
      <c r="AZ276" s="285"/>
      <c r="BA276" s="285"/>
      <c r="BB276" s="285"/>
      <c r="BC276" s="285"/>
      <c r="BD276" s="285"/>
      <c r="BE276" s="285"/>
      <c r="BF276" s="285"/>
      <c r="BG276" s="285"/>
      <c r="BH276" s="285"/>
      <c r="BI276" s="285"/>
      <c r="BJ276" s="285"/>
      <c r="BK276" s="285"/>
      <c r="BL276" s="285"/>
      <c r="BM276" s="285"/>
      <c r="BN276" s="285"/>
      <c r="BO276" s="285"/>
      <c r="BP276" s="285"/>
      <c r="BQ276" s="285"/>
      <c r="BR276" s="285"/>
      <c r="BS276" s="285"/>
      <c r="BT276" s="285"/>
      <c r="BU276" s="285"/>
      <c r="BV276" s="285"/>
    </row>
    <row r="277" spans="2:74" ht="15" customHeight="1" x14ac:dyDescent="0.2">
      <c r="B277" s="13" t="s">
        <v>7</v>
      </c>
      <c r="C277" s="14" t="s">
        <v>30</v>
      </c>
      <c r="D277" s="14" t="s">
        <v>8</v>
      </c>
      <c r="E277" s="14" t="s">
        <v>20</v>
      </c>
      <c r="F277" s="14" t="s">
        <v>11</v>
      </c>
      <c r="G277" s="14"/>
      <c r="H277" s="14"/>
      <c r="I277" s="14"/>
      <c r="J277" s="195"/>
      <c r="K277" s="13"/>
      <c r="L277" s="411" t="s">
        <v>130</v>
      </c>
      <c r="M277" s="131"/>
      <c r="N277" s="131"/>
      <c r="O277" s="154"/>
      <c r="P277" s="154"/>
      <c r="Q277" s="434">
        <v>68400000</v>
      </c>
      <c r="R277" s="16">
        <f>SUM(R278:R278)</f>
        <v>68400000</v>
      </c>
      <c r="S277" s="14"/>
      <c r="T277" s="17"/>
      <c r="U277" s="252"/>
      <c r="V277" s="497">
        <f>SUM(V278:V278)</f>
        <v>0</v>
      </c>
      <c r="W277" s="497">
        <f>SUM(W278:W278)</f>
        <v>0</v>
      </c>
      <c r="X277" s="498">
        <f>SUM(X278:X278)</f>
        <v>68400000</v>
      </c>
      <c r="Y277" s="498">
        <f>SUM(Y278:Y278)</f>
        <v>0</v>
      </c>
      <c r="Z277" s="498">
        <f>SUM(Z278:Z278)</f>
        <v>0</v>
      </c>
      <c r="AA277" s="498">
        <f t="shared" ref="AA277:AG277" si="196">SUM(AA278:AA278)</f>
        <v>0</v>
      </c>
      <c r="AB277" s="498">
        <f t="shared" si="196"/>
        <v>0</v>
      </c>
      <c r="AC277" s="498">
        <f t="shared" si="196"/>
        <v>0</v>
      </c>
      <c r="AD277" s="498">
        <f t="shared" si="196"/>
        <v>0</v>
      </c>
      <c r="AE277" s="498">
        <f t="shared" si="196"/>
        <v>0</v>
      </c>
      <c r="AF277" s="498">
        <f t="shared" si="196"/>
        <v>0</v>
      </c>
      <c r="AG277" s="498">
        <f t="shared" si="196"/>
        <v>0</v>
      </c>
      <c r="AH277" s="501">
        <f t="shared" si="173"/>
        <v>68400000</v>
      </c>
      <c r="AI277" s="535"/>
      <c r="AJ277" s="535"/>
      <c r="AK277" s="536"/>
      <c r="AL277" s="536"/>
      <c r="AM277" s="536"/>
      <c r="AQ277" s="440"/>
      <c r="AR277" s="285"/>
      <c r="AS277" s="285"/>
      <c r="AT277" s="285"/>
      <c r="AU277" s="285"/>
      <c r="AV277" s="285"/>
      <c r="AW277" s="285"/>
      <c r="AX277" s="285"/>
      <c r="AY277" s="285"/>
      <c r="AZ277" s="285"/>
      <c r="BA277" s="285"/>
      <c r="BB277" s="285"/>
      <c r="BC277" s="285"/>
      <c r="BD277" s="285"/>
      <c r="BE277" s="285"/>
      <c r="BF277" s="285"/>
      <c r="BG277" s="285"/>
      <c r="BH277" s="285"/>
      <c r="BI277" s="285"/>
      <c r="BJ277" s="285"/>
      <c r="BK277" s="285"/>
      <c r="BL277" s="285"/>
      <c r="BM277" s="285"/>
      <c r="BN277" s="285"/>
      <c r="BO277" s="285"/>
      <c r="BP277" s="285"/>
      <c r="BQ277" s="285"/>
      <c r="BR277" s="285"/>
      <c r="BS277" s="285"/>
      <c r="BT277" s="285"/>
      <c r="BU277" s="285"/>
      <c r="BV277" s="285"/>
    </row>
    <row r="278" spans="2:74" x14ac:dyDescent="0.2">
      <c r="B278" s="677"/>
      <c r="C278" s="678"/>
      <c r="D278" s="678"/>
      <c r="E278" s="678"/>
      <c r="F278" s="678"/>
      <c r="G278" s="678"/>
      <c r="H278" s="678"/>
      <c r="I278" s="678"/>
      <c r="J278" s="678"/>
      <c r="K278" s="398"/>
      <c r="L278" s="400" t="s">
        <v>130</v>
      </c>
      <c r="M278" s="157" t="s">
        <v>375</v>
      </c>
      <c r="N278" s="157" t="s">
        <v>375</v>
      </c>
      <c r="O278" s="157" t="s">
        <v>375</v>
      </c>
      <c r="P278" s="157" t="s">
        <v>375</v>
      </c>
      <c r="Q278" s="434"/>
      <c r="R278" s="101">
        <v>68400000</v>
      </c>
      <c r="S278" s="402" t="s">
        <v>386</v>
      </c>
      <c r="T278" s="399"/>
      <c r="U278" s="253" t="s">
        <v>276</v>
      </c>
      <c r="V278" s="497"/>
      <c r="W278" s="497"/>
      <c r="X278" s="498">
        <v>68400000</v>
      </c>
      <c r="Y278" s="498"/>
      <c r="Z278" s="498"/>
      <c r="AA278" s="498"/>
      <c r="AB278" s="498"/>
      <c r="AC278" s="498"/>
      <c r="AD278" s="498"/>
      <c r="AE278" s="498"/>
      <c r="AF278" s="498"/>
      <c r="AG278" s="498"/>
      <c r="AH278" s="501">
        <f t="shared" si="173"/>
        <v>68400000</v>
      </c>
      <c r="AI278" s="535" t="s">
        <v>606</v>
      </c>
      <c r="AJ278" s="535"/>
      <c r="AK278" s="536">
        <v>55804044</v>
      </c>
      <c r="AL278" s="536">
        <v>55804044</v>
      </c>
      <c r="AM278" s="536">
        <v>55804044</v>
      </c>
      <c r="AN278" s="532">
        <f>+R278-AL278</f>
        <v>12595956</v>
      </c>
      <c r="AO278" s="532">
        <f t="shared" ref="AO278" si="197">+AL278-AM278</f>
        <v>0</v>
      </c>
      <c r="AP278" s="533">
        <f>R278-AL278+AO278</f>
        <v>12595956</v>
      </c>
      <c r="AQ278" s="440"/>
      <c r="AR278" s="285"/>
      <c r="AS278" s="285"/>
      <c r="AT278" s="285"/>
      <c r="AU278" s="285"/>
      <c r="AV278" s="285"/>
      <c r="AW278" s="285"/>
      <c r="AX278" s="285"/>
      <c r="AY278" s="285"/>
      <c r="AZ278" s="285"/>
      <c r="BA278" s="285"/>
      <c r="BB278" s="285"/>
      <c r="BC278" s="285"/>
      <c r="BD278" s="285"/>
      <c r="BE278" s="285"/>
      <c r="BF278" s="285"/>
      <c r="BG278" s="285"/>
      <c r="BH278" s="285"/>
      <c r="BI278" s="285"/>
      <c r="BJ278" s="285"/>
      <c r="BK278" s="285"/>
      <c r="BL278" s="285"/>
      <c r="BM278" s="285"/>
      <c r="BN278" s="285"/>
      <c r="BO278" s="285"/>
      <c r="BP278" s="285"/>
      <c r="BQ278" s="285"/>
      <c r="BR278" s="285"/>
      <c r="BS278" s="285"/>
      <c r="BT278" s="285"/>
      <c r="BU278" s="285"/>
      <c r="BV278" s="285"/>
    </row>
    <row r="279" spans="2:74" ht="15" customHeight="1" x14ac:dyDescent="0.2">
      <c r="B279" s="13" t="s">
        <v>7</v>
      </c>
      <c r="C279" s="14" t="s">
        <v>30</v>
      </c>
      <c r="D279" s="14" t="s">
        <v>8</v>
      </c>
      <c r="E279" s="14" t="s">
        <v>20</v>
      </c>
      <c r="F279" s="14" t="s">
        <v>14</v>
      </c>
      <c r="G279" s="14"/>
      <c r="H279" s="14"/>
      <c r="I279" s="14"/>
      <c r="J279" s="195"/>
      <c r="K279" s="13"/>
      <c r="L279" s="411" t="s">
        <v>131</v>
      </c>
      <c r="M279" s="131"/>
      <c r="N279" s="131"/>
      <c r="O279" s="154"/>
      <c r="P279" s="154"/>
      <c r="Q279" s="434">
        <v>2600000</v>
      </c>
      <c r="R279" s="16">
        <f>SUM(R280:R280)</f>
        <v>2600000</v>
      </c>
      <c r="S279" s="14"/>
      <c r="T279" s="17"/>
      <c r="U279" s="252"/>
      <c r="V279" s="497">
        <f>SUM(V280:V280)</f>
        <v>0</v>
      </c>
      <c r="W279" s="497">
        <f>SUM(W280:W280)</f>
        <v>0</v>
      </c>
      <c r="X279" s="498">
        <f>SUM(X280:X280)</f>
        <v>0</v>
      </c>
      <c r="Y279" s="498">
        <f>SUM(Y280:Y280)</f>
        <v>2600000</v>
      </c>
      <c r="Z279" s="498">
        <f>SUM(Z280:Z280)</f>
        <v>0</v>
      </c>
      <c r="AA279" s="498">
        <f t="shared" ref="AA279:AG279" si="198">SUM(AA280:AA280)</f>
        <v>0</v>
      </c>
      <c r="AB279" s="498">
        <f t="shared" si="198"/>
        <v>0</v>
      </c>
      <c r="AC279" s="498">
        <f t="shared" si="198"/>
        <v>0</v>
      </c>
      <c r="AD279" s="498">
        <f t="shared" si="198"/>
        <v>0</v>
      </c>
      <c r="AE279" s="498">
        <f t="shared" si="198"/>
        <v>0</v>
      </c>
      <c r="AF279" s="498">
        <f t="shared" si="198"/>
        <v>0</v>
      </c>
      <c r="AG279" s="498">
        <f t="shared" si="198"/>
        <v>0</v>
      </c>
      <c r="AH279" s="501">
        <f t="shared" si="173"/>
        <v>2600000</v>
      </c>
      <c r="AI279" s="535"/>
      <c r="AJ279" s="535"/>
      <c r="AK279" s="536"/>
      <c r="AL279" s="536"/>
      <c r="AM279" s="536"/>
      <c r="AQ279" s="440"/>
      <c r="AR279" s="285"/>
      <c r="AS279" s="285"/>
      <c r="AT279" s="285"/>
      <c r="AU279" s="285"/>
      <c r="AV279" s="285"/>
      <c r="AW279" s="285"/>
      <c r="AX279" s="285"/>
      <c r="AY279" s="285"/>
      <c r="AZ279" s="285"/>
      <c r="BA279" s="285"/>
      <c r="BB279" s="285"/>
      <c r="BC279" s="285"/>
      <c r="BD279" s="285"/>
      <c r="BE279" s="285"/>
      <c r="BF279" s="285"/>
      <c r="BG279" s="285"/>
      <c r="BH279" s="285"/>
      <c r="BI279" s="285"/>
      <c r="BJ279" s="285"/>
      <c r="BK279" s="285"/>
      <c r="BL279" s="285"/>
      <c r="BM279" s="285"/>
      <c r="BN279" s="285"/>
      <c r="BO279" s="285"/>
      <c r="BP279" s="285"/>
      <c r="BQ279" s="285"/>
      <c r="BR279" s="285"/>
      <c r="BS279" s="285"/>
      <c r="BT279" s="285"/>
      <c r="BU279" s="285"/>
      <c r="BV279" s="285"/>
    </row>
    <row r="280" spans="2:74" ht="15" customHeight="1" x14ac:dyDescent="0.2">
      <c r="B280" s="677"/>
      <c r="C280" s="678"/>
      <c r="D280" s="678"/>
      <c r="E280" s="678"/>
      <c r="F280" s="678"/>
      <c r="G280" s="678"/>
      <c r="H280" s="678"/>
      <c r="I280" s="678"/>
      <c r="J280" s="678"/>
      <c r="K280" s="398"/>
      <c r="L280" s="400" t="s">
        <v>131</v>
      </c>
      <c r="M280" s="157" t="s">
        <v>375</v>
      </c>
      <c r="N280" s="157" t="s">
        <v>375</v>
      </c>
      <c r="O280" s="157" t="s">
        <v>375</v>
      </c>
      <c r="P280" s="157" t="s">
        <v>375</v>
      </c>
      <c r="Q280" s="434"/>
      <c r="R280" s="101">
        <v>2600000</v>
      </c>
      <c r="S280" s="402" t="s">
        <v>386</v>
      </c>
      <c r="T280" s="399"/>
      <c r="U280" s="257" t="s">
        <v>270</v>
      </c>
      <c r="V280" s="497"/>
      <c r="W280" s="497"/>
      <c r="X280" s="498"/>
      <c r="Y280" s="498">
        <v>2600000</v>
      </c>
      <c r="Z280" s="498"/>
      <c r="AA280" s="498"/>
      <c r="AB280" s="498"/>
      <c r="AC280" s="498"/>
      <c r="AD280" s="498"/>
      <c r="AE280" s="498"/>
      <c r="AF280" s="498"/>
      <c r="AG280" s="498"/>
      <c r="AH280" s="501">
        <f t="shared" si="173"/>
        <v>2600000</v>
      </c>
      <c r="AI280" s="535"/>
      <c r="AJ280" s="535"/>
      <c r="AK280" s="536"/>
      <c r="AL280" s="536"/>
      <c r="AM280" s="536"/>
      <c r="AP280" s="533">
        <f>R280-AL280+AO280</f>
        <v>2600000</v>
      </c>
      <c r="AQ280" s="440"/>
      <c r="AR280" s="285"/>
      <c r="AS280" s="285"/>
      <c r="AT280" s="285"/>
      <c r="AU280" s="285"/>
      <c r="AV280" s="285"/>
      <c r="AW280" s="285"/>
      <c r="AX280" s="285"/>
      <c r="AY280" s="285"/>
      <c r="AZ280" s="285"/>
      <c r="BA280" s="285"/>
      <c r="BB280" s="285"/>
      <c r="BC280" s="285"/>
      <c r="BD280" s="285"/>
      <c r="BE280" s="285"/>
      <c r="BF280" s="285"/>
      <c r="BG280" s="285"/>
      <c r="BH280" s="285"/>
      <c r="BI280" s="285"/>
      <c r="BJ280" s="285"/>
      <c r="BK280" s="285"/>
      <c r="BL280" s="285"/>
      <c r="BM280" s="285"/>
      <c r="BN280" s="285"/>
      <c r="BO280" s="285"/>
      <c r="BP280" s="285"/>
      <c r="BQ280" s="285"/>
      <c r="BR280" s="285"/>
      <c r="BS280" s="285"/>
      <c r="BT280" s="285"/>
      <c r="BU280" s="285"/>
      <c r="BV280" s="285"/>
    </row>
    <row r="281" spans="2:74" ht="15.75" customHeight="1" x14ac:dyDescent="0.25">
      <c r="B281" s="81" t="s">
        <v>7</v>
      </c>
      <c r="C281" s="82" t="s">
        <v>30</v>
      </c>
      <c r="D281" s="82" t="s">
        <v>24</v>
      </c>
      <c r="E281" s="82"/>
      <c r="F281" s="82"/>
      <c r="G281" s="82"/>
      <c r="H281" s="82"/>
      <c r="I281" s="82"/>
      <c r="J281" s="206"/>
      <c r="K281" s="81"/>
      <c r="L281" s="420" t="s">
        <v>132</v>
      </c>
      <c r="M281" s="145"/>
      <c r="N281" s="145"/>
      <c r="O281" s="168"/>
      <c r="P281" s="168"/>
      <c r="Q281" s="433">
        <f>+Q282+Q284</f>
        <v>329000000</v>
      </c>
      <c r="R281" s="84">
        <f>+R282+R284</f>
        <v>329000000</v>
      </c>
      <c r="S281" s="82"/>
      <c r="T281" s="85"/>
      <c r="U281" s="266"/>
      <c r="V281" s="495">
        <f>+V282+V284</f>
        <v>0</v>
      </c>
      <c r="W281" s="495">
        <f>+W282+W284</f>
        <v>0</v>
      </c>
      <c r="X281" s="496">
        <f>+X282+X284</f>
        <v>0</v>
      </c>
      <c r="Y281" s="496">
        <f>+Y282+Y284</f>
        <v>100000000</v>
      </c>
      <c r="Z281" s="496">
        <f>+Z282+Z284</f>
        <v>0</v>
      </c>
      <c r="AA281" s="496">
        <f t="shared" ref="AA281:AF281" si="199">+AA282+AA284</f>
        <v>113000000</v>
      </c>
      <c r="AB281" s="496">
        <f t="shared" si="199"/>
        <v>116000000</v>
      </c>
      <c r="AC281" s="496">
        <f t="shared" si="199"/>
        <v>0</v>
      </c>
      <c r="AD281" s="496">
        <f t="shared" si="199"/>
        <v>0</v>
      </c>
      <c r="AE281" s="496">
        <f t="shared" si="199"/>
        <v>0</v>
      </c>
      <c r="AF281" s="496">
        <f t="shared" si="199"/>
        <v>0</v>
      </c>
      <c r="AG281" s="496">
        <f t="shared" ref="AG281" si="200">+AG282+AG284</f>
        <v>0</v>
      </c>
      <c r="AH281" s="500">
        <f t="shared" si="173"/>
        <v>329000000</v>
      </c>
      <c r="AI281" s="535"/>
      <c r="AJ281" s="535"/>
      <c r="AK281" s="536"/>
      <c r="AL281" s="536"/>
      <c r="AM281" s="536"/>
      <c r="AQ281" s="440"/>
      <c r="AR281" s="285"/>
      <c r="AS281" s="285"/>
      <c r="AT281" s="285"/>
      <c r="AU281" s="285"/>
      <c r="AV281" s="285"/>
      <c r="AW281" s="285"/>
      <c r="AX281" s="285"/>
      <c r="AY281" s="285"/>
      <c r="AZ281" s="285"/>
      <c r="BA281" s="285"/>
      <c r="BB281" s="285"/>
      <c r="BC281" s="285"/>
      <c r="BD281" s="285"/>
      <c r="BE281" s="285"/>
      <c r="BF281" s="285"/>
      <c r="BG281" s="285"/>
      <c r="BH281" s="285"/>
      <c r="BI281" s="285"/>
      <c r="BJ281" s="285"/>
      <c r="BK281" s="285"/>
      <c r="BL281" s="285"/>
      <c r="BM281" s="285"/>
      <c r="BN281" s="285"/>
      <c r="BO281" s="285"/>
      <c r="BP281" s="285"/>
      <c r="BQ281" s="285"/>
      <c r="BR281" s="285"/>
      <c r="BS281" s="285"/>
      <c r="BT281" s="285"/>
      <c r="BU281" s="285"/>
      <c r="BV281" s="285"/>
    </row>
    <row r="282" spans="2:74" ht="15" customHeight="1" x14ac:dyDescent="0.2">
      <c r="B282" s="66" t="s">
        <v>7</v>
      </c>
      <c r="C282" s="67" t="s">
        <v>30</v>
      </c>
      <c r="D282" s="67" t="s">
        <v>24</v>
      </c>
      <c r="E282" s="67" t="s">
        <v>8</v>
      </c>
      <c r="F282" s="67"/>
      <c r="G282" s="67"/>
      <c r="H282" s="67"/>
      <c r="I282" s="67"/>
      <c r="J282" s="207"/>
      <c r="K282" s="66"/>
      <c r="L282" s="421" t="s">
        <v>133</v>
      </c>
      <c r="M282" s="146"/>
      <c r="N282" s="146"/>
      <c r="O282" s="169"/>
      <c r="P282" s="169"/>
      <c r="Q282" s="434">
        <v>116000000</v>
      </c>
      <c r="R282" s="69">
        <f>SUM(R283)</f>
        <v>116000000</v>
      </c>
      <c r="S282" s="67"/>
      <c r="T282" s="70"/>
      <c r="U282" s="267"/>
      <c r="V282" s="497">
        <f>SUM(V283)</f>
        <v>0</v>
      </c>
      <c r="W282" s="497">
        <f>SUM(W283)</f>
        <v>0</v>
      </c>
      <c r="X282" s="498">
        <f>SUM(X283)</f>
        <v>0</v>
      </c>
      <c r="Y282" s="498">
        <f>SUM(Y283)</f>
        <v>0</v>
      </c>
      <c r="Z282" s="498">
        <f>SUM(Z283)</f>
        <v>0</v>
      </c>
      <c r="AA282" s="498">
        <f t="shared" ref="AA282:AG282" si="201">SUM(AA283)</f>
        <v>0</v>
      </c>
      <c r="AB282" s="498">
        <f t="shared" si="201"/>
        <v>116000000</v>
      </c>
      <c r="AC282" s="498">
        <f t="shared" si="201"/>
        <v>0</v>
      </c>
      <c r="AD282" s="498">
        <f t="shared" si="201"/>
        <v>0</v>
      </c>
      <c r="AE282" s="498">
        <f t="shared" si="201"/>
        <v>0</v>
      </c>
      <c r="AF282" s="498">
        <f t="shared" si="201"/>
        <v>0</v>
      </c>
      <c r="AG282" s="498">
        <f t="shared" si="201"/>
        <v>0</v>
      </c>
      <c r="AH282" s="501">
        <f t="shared" si="173"/>
        <v>116000000</v>
      </c>
      <c r="AI282" s="535"/>
      <c r="AJ282" s="535"/>
      <c r="AK282" s="536"/>
      <c r="AL282" s="536"/>
      <c r="AM282" s="536"/>
      <c r="AQ282" s="440"/>
      <c r="AR282" s="285"/>
      <c r="AS282" s="285"/>
      <c r="AT282" s="285"/>
      <c r="AU282" s="285"/>
      <c r="AV282" s="285"/>
      <c r="AW282" s="285"/>
      <c r="AX282" s="285"/>
      <c r="AY282" s="285"/>
      <c r="AZ282" s="285"/>
      <c r="BA282" s="285"/>
      <c r="BB282" s="285"/>
      <c r="BC282" s="285"/>
      <c r="BD282" s="285"/>
      <c r="BE282" s="285"/>
      <c r="BF282" s="285"/>
      <c r="BG282" s="285"/>
      <c r="BH282" s="285"/>
      <c r="BI282" s="285"/>
      <c r="BJ282" s="285"/>
      <c r="BK282" s="285"/>
      <c r="BL282" s="285"/>
      <c r="BM282" s="285"/>
      <c r="BN282" s="285"/>
      <c r="BO282" s="285"/>
      <c r="BP282" s="285"/>
      <c r="BQ282" s="285"/>
      <c r="BR282" s="285"/>
      <c r="BS282" s="285"/>
      <c r="BT282" s="285"/>
      <c r="BU282" s="285"/>
      <c r="BV282" s="285"/>
    </row>
    <row r="283" spans="2:74" ht="15" customHeight="1" x14ac:dyDescent="0.2">
      <c r="B283" s="677"/>
      <c r="C283" s="678"/>
      <c r="D283" s="678"/>
      <c r="E283" s="678"/>
      <c r="F283" s="678"/>
      <c r="G283" s="678"/>
      <c r="H283" s="678"/>
      <c r="I283" s="678"/>
      <c r="J283" s="678"/>
      <c r="K283" s="398"/>
      <c r="L283" s="400" t="s">
        <v>133</v>
      </c>
      <c r="M283" s="157" t="s">
        <v>375</v>
      </c>
      <c r="N283" s="157" t="s">
        <v>375</v>
      </c>
      <c r="O283" s="157" t="s">
        <v>375</v>
      </c>
      <c r="P283" s="157" t="s">
        <v>375</v>
      </c>
      <c r="Q283" s="434"/>
      <c r="R283" s="101">
        <v>116000000</v>
      </c>
      <c r="S283" s="402" t="s">
        <v>386</v>
      </c>
      <c r="T283" s="399"/>
      <c r="U283" s="253" t="s">
        <v>276</v>
      </c>
      <c r="V283" s="497"/>
      <c r="W283" s="497"/>
      <c r="X283" s="498"/>
      <c r="Y283" s="498"/>
      <c r="Z283" s="498"/>
      <c r="AA283" s="498"/>
      <c r="AB283" s="498">
        <v>116000000</v>
      </c>
      <c r="AC283" s="498"/>
      <c r="AD283" s="498"/>
      <c r="AE283" s="498"/>
      <c r="AF283" s="498"/>
      <c r="AG283" s="498"/>
      <c r="AH283" s="501">
        <f t="shared" si="173"/>
        <v>116000000</v>
      </c>
      <c r="AI283" s="535">
        <v>78721</v>
      </c>
      <c r="AJ283" s="538">
        <v>44476</v>
      </c>
      <c r="AK283" s="536">
        <v>104530698</v>
      </c>
      <c r="AL283" s="536">
        <v>104530698</v>
      </c>
      <c r="AM283" s="536">
        <v>104530698</v>
      </c>
      <c r="AN283" s="532">
        <f>+R283-AL283</f>
        <v>11469302</v>
      </c>
      <c r="AO283" s="532">
        <f t="shared" ref="AO283" si="202">+AL283-AM283</f>
        <v>0</v>
      </c>
      <c r="AP283" s="533">
        <f>R283-AL283+AO283</f>
        <v>11469302</v>
      </c>
      <c r="AQ283" s="440"/>
      <c r="AR283" s="285"/>
      <c r="AS283" s="285"/>
      <c r="AT283" s="285"/>
      <c r="AU283" s="285"/>
      <c r="AV283" s="285"/>
      <c r="AW283" s="285"/>
      <c r="AX283" s="285"/>
      <c r="AY283" s="285"/>
      <c r="AZ283" s="285"/>
      <c r="BA283" s="285"/>
      <c r="BB283" s="285"/>
      <c r="BC283" s="285"/>
      <c r="BD283" s="285"/>
      <c r="BE283" s="285"/>
      <c r="BF283" s="285"/>
      <c r="BG283" s="285"/>
      <c r="BH283" s="285"/>
      <c r="BI283" s="285"/>
      <c r="BJ283" s="285"/>
      <c r="BK283" s="285"/>
      <c r="BL283" s="285"/>
      <c r="BM283" s="285"/>
      <c r="BN283" s="285"/>
      <c r="BO283" s="285"/>
      <c r="BP283" s="285"/>
      <c r="BQ283" s="285"/>
      <c r="BR283" s="285"/>
      <c r="BS283" s="285"/>
      <c r="BT283" s="285"/>
      <c r="BU283" s="285"/>
      <c r="BV283" s="285"/>
    </row>
    <row r="284" spans="2:74" ht="15" customHeight="1" x14ac:dyDescent="0.2">
      <c r="B284" s="66" t="s">
        <v>7</v>
      </c>
      <c r="C284" s="67" t="s">
        <v>30</v>
      </c>
      <c r="D284" s="67" t="s">
        <v>24</v>
      </c>
      <c r="E284" s="67" t="s">
        <v>24</v>
      </c>
      <c r="F284" s="67"/>
      <c r="G284" s="67"/>
      <c r="H284" s="67"/>
      <c r="I284" s="67"/>
      <c r="J284" s="207"/>
      <c r="K284" s="66"/>
      <c r="L284" s="421" t="s">
        <v>393</v>
      </c>
      <c r="M284" s="146"/>
      <c r="N284" s="146"/>
      <c r="O284" s="169"/>
      <c r="P284" s="169"/>
      <c r="Q284" s="434">
        <v>213000000</v>
      </c>
      <c r="R284" s="69">
        <f>+R285</f>
        <v>213000000</v>
      </c>
      <c r="S284" s="67"/>
      <c r="T284" s="70"/>
      <c r="U284" s="267"/>
      <c r="V284" s="497">
        <f>+V285</f>
        <v>0</v>
      </c>
      <c r="W284" s="497">
        <f>+W285</f>
        <v>0</v>
      </c>
      <c r="X284" s="498">
        <f>+X285</f>
        <v>0</v>
      </c>
      <c r="Y284" s="498">
        <f>+Y285</f>
        <v>100000000</v>
      </c>
      <c r="Z284" s="498">
        <f>+Z285</f>
        <v>0</v>
      </c>
      <c r="AA284" s="498">
        <f t="shared" ref="AA284:AG284" si="203">+AA285</f>
        <v>113000000</v>
      </c>
      <c r="AB284" s="498">
        <f t="shared" si="203"/>
        <v>0</v>
      </c>
      <c r="AC284" s="498">
        <f t="shared" si="203"/>
        <v>0</v>
      </c>
      <c r="AD284" s="498">
        <f t="shared" si="203"/>
        <v>0</v>
      </c>
      <c r="AE284" s="498">
        <f t="shared" si="203"/>
        <v>0</v>
      </c>
      <c r="AF284" s="498">
        <f t="shared" si="203"/>
        <v>0</v>
      </c>
      <c r="AG284" s="498">
        <f t="shared" si="203"/>
        <v>0</v>
      </c>
      <c r="AH284" s="501">
        <f t="shared" si="173"/>
        <v>213000000</v>
      </c>
      <c r="AI284" s="535"/>
      <c r="AJ284" s="535"/>
      <c r="AK284" s="536"/>
      <c r="AL284" s="536"/>
      <c r="AM284" s="536"/>
      <c r="AQ284" s="440"/>
      <c r="AR284" s="285"/>
      <c r="AS284" s="285"/>
      <c r="AT284" s="285"/>
      <c r="AU284" s="285"/>
      <c r="AV284" s="285"/>
      <c r="AW284" s="285"/>
      <c r="AX284" s="285"/>
      <c r="AY284" s="285"/>
      <c r="AZ284" s="285"/>
      <c r="BA284" s="285"/>
      <c r="BB284" s="285"/>
      <c r="BC284" s="285"/>
      <c r="BD284" s="285"/>
      <c r="BE284" s="285"/>
      <c r="BF284" s="285"/>
      <c r="BG284" s="285"/>
      <c r="BH284" s="285"/>
      <c r="BI284" s="285"/>
      <c r="BJ284" s="285"/>
      <c r="BK284" s="285"/>
      <c r="BL284" s="285"/>
      <c r="BM284" s="285"/>
      <c r="BN284" s="285"/>
      <c r="BO284" s="285"/>
      <c r="BP284" s="285"/>
      <c r="BQ284" s="285"/>
      <c r="BR284" s="285"/>
      <c r="BS284" s="285"/>
      <c r="BT284" s="285"/>
      <c r="BU284" s="285"/>
      <c r="BV284" s="285"/>
    </row>
    <row r="285" spans="2:74" ht="15" customHeight="1" x14ac:dyDescent="0.2">
      <c r="B285" s="677"/>
      <c r="C285" s="678"/>
      <c r="D285" s="678"/>
      <c r="E285" s="678"/>
      <c r="F285" s="678"/>
      <c r="G285" s="678"/>
      <c r="H285" s="678"/>
      <c r="I285" s="678"/>
      <c r="J285" s="678"/>
      <c r="K285" s="398"/>
      <c r="L285" s="400" t="s">
        <v>394</v>
      </c>
      <c r="M285" s="157" t="s">
        <v>375</v>
      </c>
      <c r="N285" s="157" t="s">
        <v>375</v>
      </c>
      <c r="O285" s="157" t="s">
        <v>375</v>
      </c>
      <c r="P285" s="157" t="s">
        <v>375</v>
      </c>
      <c r="Q285" s="434"/>
      <c r="R285" s="101">
        <v>213000000</v>
      </c>
      <c r="S285" s="402" t="s">
        <v>386</v>
      </c>
      <c r="T285" s="399"/>
      <c r="U285" s="253" t="s">
        <v>268</v>
      </c>
      <c r="V285" s="497">
        <v>0</v>
      </c>
      <c r="W285" s="497">
        <v>0</v>
      </c>
      <c r="X285" s="498">
        <v>0</v>
      </c>
      <c r="Y285" s="498">
        <v>100000000</v>
      </c>
      <c r="Z285" s="498">
        <v>0</v>
      </c>
      <c r="AA285" s="498">
        <v>113000000</v>
      </c>
      <c r="AB285" s="498">
        <v>0</v>
      </c>
      <c r="AC285" s="498"/>
      <c r="AD285" s="498"/>
      <c r="AE285" s="498"/>
      <c r="AF285" s="498"/>
      <c r="AG285" s="498"/>
      <c r="AH285" s="501">
        <f t="shared" si="173"/>
        <v>213000000</v>
      </c>
      <c r="AI285" s="535"/>
      <c r="AJ285" s="535"/>
      <c r="AK285" s="536"/>
      <c r="AL285" s="536"/>
      <c r="AM285" s="536"/>
      <c r="AP285" s="533">
        <f>R285-AL285+AO285</f>
        <v>213000000</v>
      </c>
      <c r="AQ285" s="440"/>
      <c r="AR285" s="285"/>
      <c r="AS285" s="285"/>
      <c r="AT285" s="285"/>
      <c r="AU285" s="285"/>
      <c r="AV285" s="285"/>
      <c r="AW285" s="285"/>
      <c r="AX285" s="285"/>
      <c r="AY285" s="285"/>
      <c r="AZ285" s="285"/>
      <c r="BA285" s="285"/>
      <c r="BB285" s="285"/>
      <c r="BC285" s="285"/>
      <c r="BD285" s="285"/>
      <c r="BE285" s="285"/>
      <c r="BF285" s="285"/>
      <c r="BG285" s="285"/>
      <c r="BH285" s="285"/>
      <c r="BI285" s="285"/>
      <c r="BJ285" s="285"/>
      <c r="BK285" s="285"/>
      <c r="BL285" s="285"/>
      <c r="BM285" s="285"/>
      <c r="BN285" s="285"/>
      <c r="BO285" s="285"/>
      <c r="BP285" s="285"/>
      <c r="BQ285" s="285"/>
      <c r="BR285" s="285"/>
      <c r="BS285" s="285"/>
      <c r="BT285" s="285"/>
      <c r="BU285" s="285"/>
      <c r="BV285" s="285"/>
    </row>
    <row r="286" spans="2:74" ht="15.75" customHeight="1" x14ac:dyDescent="0.25">
      <c r="B286" s="86" t="s">
        <v>149</v>
      </c>
      <c r="C286" s="87"/>
      <c r="D286" s="87"/>
      <c r="E286" s="87"/>
      <c r="F286" s="87"/>
      <c r="G286" s="87"/>
      <c r="H286" s="87"/>
      <c r="I286" s="87"/>
      <c r="J286" s="208"/>
      <c r="K286" s="86"/>
      <c r="L286" s="422" t="s">
        <v>152</v>
      </c>
      <c r="M286" s="147"/>
      <c r="N286" s="147"/>
      <c r="O286" s="170"/>
      <c r="P286" s="170"/>
      <c r="Q286" s="433">
        <f>+Q287+Q305</f>
        <v>16699000000</v>
      </c>
      <c r="R286" s="89">
        <f>+R287</f>
        <v>16699000000</v>
      </c>
      <c r="S286" s="87"/>
      <c r="T286" s="90"/>
      <c r="U286" s="268"/>
      <c r="V286" s="495">
        <f t="shared" ref="V286:Z287" si="204">+V287</f>
        <v>0</v>
      </c>
      <c r="W286" s="495">
        <f t="shared" si="204"/>
        <v>55951000</v>
      </c>
      <c r="X286" s="496">
        <f t="shared" si="204"/>
        <v>55951000</v>
      </c>
      <c r="Y286" s="496">
        <f t="shared" si="204"/>
        <v>198674000</v>
      </c>
      <c r="Z286" s="496">
        <f t="shared" si="204"/>
        <v>644674000</v>
      </c>
      <c r="AA286" s="496">
        <f t="shared" ref="AA286:AG287" si="205">+AA287</f>
        <v>1476674000</v>
      </c>
      <c r="AB286" s="496">
        <f t="shared" si="205"/>
        <v>4060374000</v>
      </c>
      <c r="AC286" s="496">
        <f t="shared" si="205"/>
        <v>2820674000</v>
      </c>
      <c r="AD286" s="496">
        <f t="shared" si="205"/>
        <v>1532374000</v>
      </c>
      <c r="AE286" s="496">
        <f t="shared" si="205"/>
        <v>3181867000</v>
      </c>
      <c r="AF286" s="496">
        <f t="shared" si="205"/>
        <v>154251000</v>
      </c>
      <c r="AG286" s="496">
        <f t="shared" si="205"/>
        <v>2517536000</v>
      </c>
      <c r="AH286" s="500">
        <f t="shared" si="173"/>
        <v>16699000000</v>
      </c>
      <c r="AI286" s="535"/>
      <c r="AJ286" s="535"/>
      <c r="AK286" s="536"/>
      <c r="AL286" s="536"/>
      <c r="AM286" s="536"/>
      <c r="AQ286" s="440"/>
      <c r="AR286" s="285"/>
      <c r="AS286" s="285"/>
      <c r="AT286" s="285"/>
      <c r="AU286" s="285"/>
      <c r="AV286" s="285"/>
      <c r="AW286" s="285"/>
      <c r="AX286" s="285"/>
      <c r="AY286" s="285"/>
      <c r="AZ286" s="285"/>
      <c r="BA286" s="285"/>
      <c r="BB286" s="285"/>
      <c r="BC286" s="285"/>
      <c r="BD286" s="285"/>
      <c r="BE286" s="285"/>
      <c r="BF286" s="285"/>
      <c r="BG286" s="285"/>
      <c r="BH286" s="285"/>
      <c r="BI286" s="285"/>
      <c r="BJ286" s="285"/>
      <c r="BK286" s="285"/>
      <c r="BL286" s="285"/>
      <c r="BM286" s="285"/>
      <c r="BN286" s="285"/>
      <c r="BO286" s="285"/>
      <c r="BP286" s="285"/>
      <c r="BQ286" s="285"/>
      <c r="BR286" s="285"/>
      <c r="BS286" s="285"/>
      <c r="BT286" s="285"/>
      <c r="BU286" s="285"/>
      <c r="BV286" s="285"/>
    </row>
    <row r="287" spans="2:74" ht="15" customHeight="1" x14ac:dyDescent="0.25">
      <c r="B287" s="56" t="s">
        <v>149</v>
      </c>
      <c r="C287" s="57"/>
      <c r="D287" s="57" t="s">
        <v>150</v>
      </c>
      <c r="E287" s="57"/>
      <c r="F287" s="57"/>
      <c r="G287" s="57"/>
      <c r="H287" s="57"/>
      <c r="I287" s="57"/>
      <c r="J287" s="209"/>
      <c r="K287" s="56"/>
      <c r="L287" s="423" t="s">
        <v>153</v>
      </c>
      <c r="M287" s="148"/>
      <c r="N287" s="148"/>
      <c r="O287" s="171"/>
      <c r="P287" s="171"/>
      <c r="Q287" s="433">
        <f>+Q288</f>
        <v>8161000000</v>
      </c>
      <c r="R287" s="480">
        <f>+R288</f>
        <v>16699000000</v>
      </c>
      <c r="S287" s="481"/>
      <c r="T287" s="546"/>
      <c r="U287" s="482"/>
      <c r="V287" s="495">
        <f t="shared" si="204"/>
        <v>0</v>
      </c>
      <c r="W287" s="495">
        <f t="shared" si="204"/>
        <v>55951000</v>
      </c>
      <c r="X287" s="496">
        <f t="shared" si="204"/>
        <v>55951000</v>
      </c>
      <c r="Y287" s="496">
        <f t="shared" si="204"/>
        <v>198674000</v>
      </c>
      <c r="Z287" s="496">
        <f t="shared" si="204"/>
        <v>644674000</v>
      </c>
      <c r="AA287" s="496">
        <f t="shared" si="205"/>
        <v>1476674000</v>
      </c>
      <c r="AB287" s="496">
        <f t="shared" si="205"/>
        <v>4060374000</v>
      </c>
      <c r="AC287" s="496">
        <f t="shared" si="205"/>
        <v>2820674000</v>
      </c>
      <c r="AD287" s="496">
        <f t="shared" si="205"/>
        <v>1532374000</v>
      </c>
      <c r="AE287" s="496">
        <f t="shared" si="205"/>
        <v>3181867000</v>
      </c>
      <c r="AF287" s="496">
        <f t="shared" si="205"/>
        <v>154251000</v>
      </c>
      <c r="AG287" s="496">
        <f t="shared" si="205"/>
        <v>2517536000</v>
      </c>
      <c r="AH287" s="500">
        <f t="shared" si="173"/>
        <v>16699000000</v>
      </c>
      <c r="AI287" s="535"/>
      <c r="AJ287" s="535"/>
      <c r="AK287" s="536"/>
      <c r="AL287" s="536"/>
      <c r="AM287" s="536"/>
      <c r="AQ287" s="440"/>
      <c r="AR287" s="285"/>
      <c r="AS287" s="285"/>
      <c r="AT287" s="285"/>
      <c r="AU287" s="285"/>
      <c r="AV287" s="285"/>
      <c r="AW287" s="285"/>
      <c r="AX287" s="285"/>
      <c r="AY287" s="285"/>
      <c r="AZ287" s="285"/>
      <c r="BA287" s="285"/>
      <c r="BB287" s="285"/>
      <c r="BC287" s="285"/>
      <c r="BD287" s="285"/>
      <c r="BE287" s="285"/>
      <c r="BF287" s="285"/>
      <c r="BG287" s="285"/>
      <c r="BH287" s="285"/>
      <c r="BI287" s="285"/>
      <c r="BJ287" s="285"/>
      <c r="BK287" s="285"/>
      <c r="BL287" s="285"/>
      <c r="BM287" s="285"/>
      <c r="BN287" s="285"/>
      <c r="BO287" s="285"/>
      <c r="BP287" s="285"/>
      <c r="BQ287" s="285"/>
      <c r="BR287" s="285"/>
      <c r="BS287" s="285"/>
      <c r="BT287" s="285"/>
      <c r="BU287" s="285"/>
      <c r="BV287" s="285"/>
    </row>
    <row r="288" spans="2:74" ht="15" customHeight="1" x14ac:dyDescent="0.25">
      <c r="B288" s="36" t="s">
        <v>149</v>
      </c>
      <c r="C288" s="37"/>
      <c r="D288" s="37" t="s">
        <v>150</v>
      </c>
      <c r="E288" s="37"/>
      <c r="F288" s="37" t="s">
        <v>151</v>
      </c>
      <c r="G288" s="37"/>
      <c r="H288" s="37"/>
      <c r="I288" s="37"/>
      <c r="J288" s="210"/>
      <c r="K288" s="36"/>
      <c r="L288" s="424" t="s">
        <v>154</v>
      </c>
      <c r="M288" s="149"/>
      <c r="N288" s="149"/>
      <c r="O288" s="172"/>
      <c r="P288" s="172"/>
      <c r="Q288" s="433">
        <f>+Q289</f>
        <v>8161000000</v>
      </c>
      <c r="R288" s="483">
        <f>+R289+R305</f>
        <v>16699000000</v>
      </c>
      <c r="S288" s="484"/>
      <c r="T288" s="485"/>
      <c r="U288" s="486"/>
      <c r="V288" s="495">
        <f t="shared" ref="V288:AF288" si="206">+V289+V305</f>
        <v>0</v>
      </c>
      <c r="W288" s="495">
        <f t="shared" si="206"/>
        <v>55951000</v>
      </c>
      <c r="X288" s="496">
        <f t="shared" si="206"/>
        <v>55951000</v>
      </c>
      <c r="Y288" s="496">
        <f t="shared" si="206"/>
        <v>198674000</v>
      </c>
      <c r="Z288" s="496">
        <f t="shared" si="206"/>
        <v>644674000</v>
      </c>
      <c r="AA288" s="496">
        <f t="shared" si="206"/>
        <v>1476674000</v>
      </c>
      <c r="AB288" s="496">
        <f t="shared" si="206"/>
        <v>4060374000</v>
      </c>
      <c r="AC288" s="496">
        <f t="shared" si="206"/>
        <v>2820674000</v>
      </c>
      <c r="AD288" s="496">
        <f t="shared" si="206"/>
        <v>1532374000</v>
      </c>
      <c r="AE288" s="496">
        <f t="shared" si="206"/>
        <v>3181867000</v>
      </c>
      <c r="AF288" s="496">
        <f t="shared" si="206"/>
        <v>154251000</v>
      </c>
      <c r="AG288" s="496">
        <f t="shared" ref="AG288" si="207">+AG289+AG305</f>
        <v>2517536000</v>
      </c>
      <c r="AH288" s="500">
        <f t="shared" si="173"/>
        <v>16699000000</v>
      </c>
      <c r="AI288" s="535"/>
      <c r="AJ288" s="535"/>
      <c r="AK288" s="536"/>
      <c r="AL288" s="536"/>
      <c r="AM288" s="536"/>
      <c r="AQ288" s="440"/>
      <c r="AR288" s="285"/>
      <c r="AS288" s="285"/>
      <c r="AT288" s="285"/>
      <c r="AU288" s="285"/>
      <c r="AV288" s="285"/>
      <c r="AW288" s="285"/>
      <c r="AX288" s="285"/>
      <c r="AY288" s="285"/>
      <c r="AZ288" s="285"/>
      <c r="BA288" s="285"/>
      <c r="BB288" s="285"/>
      <c r="BC288" s="285"/>
      <c r="BD288" s="285"/>
      <c r="BE288" s="285"/>
      <c r="BF288" s="285"/>
      <c r="BG288" s="285"/>
      <c r="BH288" s="285"/>
      <c r="BI288" s="285"/>
      <c r="BJ288" s="285"/>
      <c r="BK288" s="285"/>
      <c r="BL288" s="285"/>
      <c r="BM288" s="285"/>
      <c r="BN288" s="285"/>
      <c r="BO288" s="285"/>
      <c r="BP288" s="285"/>
      <c r="BQ288" s="285"/>
      <c r="BR288" s="285"/>
      <c r="BS288" s="285"/>
      <c r="BT288" s="285"/>
      <c r="BU288" s="285"/>
      <c r="BV288" s="285"/>
    </row>
    <row r="289" spans="1:74" ht="50.25" customHeight="1" thickBot="1" x14ac:dyDescent="0.3">
      <c r="B289" s="13" t="s">
        <v>149</v>
      </c>
      <c r="C289" s="14"/>
      <c r="D289" s="14" t="s">
        <v>150</v>
      </c>
      <c r="E289" s="14"/>
      <c r="F289" s="14" t="s">
        <v>151</v>
      </c>
      <c r="G289" s="14"/>
      <c r="H289" s="14">
        <v>2</v>
      </c>
      <c r="I289" s="14"/>
      <c r="J289" s="195"/>
      <c r="K289" s="13"/>
      <c r="L289" s="411" t="s">
        <v>159</v>
      </c>
      <c r="M289" s="131"/>
      <c r="N289" s="131"/>
      <c r="O289" s="154"/>
      <c r="P289" s="154"/>
      <c r="Q289" s="433">
        <f>+Q290</f>
        <v>8161000000</v>
      </c>
      <c r="R289" s="487">
        <f>+R290</f>
        <v>8161000000</v>
      </c>
      <c r="S289" s="488"/>
      <c r="T289" s="489"/>
      <c r="U289" s="490"/>
      <c r="V289" s="495">
        <f>+V290</f>
        <v>0</v>
      </c>
      <c r="W289" s="495">
        <f>+W290</f>
        <v>6556000</v>
      </c>
      <c r="X289" s="496">
        <f>+X290</f>
        <v>6556000</v>
      </c>
      <c r="Y289" s="496">
        <f>+Y290</f>
        <v>8556000</v>
      </c>
      <c r="Z289" s="496">
        <f>+Z290</f>
        <v>8556000</v>
      </c>
      <c r="AA289" s="496">
        <f t="shared" ref="AA289:AG289" si="208">+AA290</f>
        <v>8556000</v>
      </c>
      <c r="AB289" s="496">
        <f t="shared" si="208"/>
        <v>1178256000</v>
      </c>
      <c r="AC289" s="496">
        <f t="shared" si="208"/>
        <v>8556000</v>
      </c>
      <c r="AD289" s="496">
        <f t="shared" si="208"/>
        <v>1178256000</v>
      </c>
      <c r="AE289" s="496">
        <f t="shared" si="208"/>
        <v>3127752000</v>
      </c>
      <c r="AF289" s="496">
        <f t="shared" si="208"/>
        <v>116800000</v>
      </c>
      <c r="AG289" s="496">
        <f t="shared" si="208"/>
        <v>2512600000</v>
      </c>
      <c r="AH289" s="500">
        <f t="shared" si="173"/>
        <v>8161000000</v>
      </c>
      <c r="AI289" s="668">
        <f>+R291+R292+R293+R294+R295+R296+R297+R298+R304</f>
        <v>8058000000</v>
      </c>
      <c r="AJ289" s="535"/>
      <c r="AK289" s="536"/>
      <c r="AL289" s="536"/>
      <c r="AM289" s="536"/>
      <c r="AQ289" s="440"/>
      <c r="AR289" s="285"/>
      <c r="AS289" s="285"/>
      <c r="AT289" s="285"/>
      <c r="AU289" s="285"/>
      <c r="AV289" s="285"/>
      <c r="AW289" s="285"/>
      <c r="AX289" s="285"/>
      <c r="AY289" s="285"/>
      <c r="AZ289" s="285"/>
      <c r="BA289" s="285"/>
      <c r="BB289" s="285"/>
      <c r="BC289" s="285"/>
      <c r="BD289" s="285"/>
      <c r="BE289" s="285"/>
      <c r="BF289" s="285"/>
      <c r="BG289" s="285"/>
      <c r="BH289" s="285"/>
      <c r="BI289" s="285"/>
      <c r="BJ289" s="285"/>
      <c r="BK289" s="285"/>
      <c r="BL289" s="285"/>
      <c r="BM289" s="285"/>
      <c r="BN289" s="285"/>
      <c r="BO289" s="285"/>
      <c r="BP289" s="285"/>
      <c r="BQ289" s="285"/>
      <c r="BR289" s="285"/>
      <c r="BS289" s="285"/>
      <c r="BT289" s="285"/>
      <c r="BU289" s="285"/>
      <c r="BV289" s="285"/>
    </row>
    <row r="290" spans="1:74" ht="15.75" customHeight="1" x14ac:dyDescent="0.25">
      <c r="B290" s="19" t="s">
        <v>7</v>
      </c>
      <c r="C290" s="20" t="s">
        <v>20</v>
      </c>
      <c r="D290" s="20"/>
      <c r="E290" s="20"/>
      <c r="F290" s="20"/>
      <c r="G290" s="20"/>
      <c r="H290" s="20"/>
      <c r="I290" s="20"/>
      <c r="J290" s="192"/>
      <c r="K290" s="219"/>
      <c r="L290" s="408" t="s">
        <v>412</v>
      </c>
      <c r="M290" s="275"/>
      <c r="N290" s="275"/>
      <c r="O290" s="276"/>
      <c r="P290" s="276"/>
      <c r="Q290" s="433">
        <v>8161000000</v>
      </c>
      <c r="R290" s="491">
        <f>SUM(R291:R304)</f>
        <v>8161000000</v>
      </c>
      <c r="S290" s="492"/>
      <c r="T290" s="493"/>
      <c r="U290" s="494"/>
      <c r="V290" s="495">
        <f t="shared" ref="V290:AF290" si="209">SUM(V291:V303)</f>
        <v>0</v>
      </c>
      <c r="W290" s="495">
        <f t="shared" si="209"/>
        <v>6556000</v>
      </c>
      <c r="X290" s="496">
        <f t="shared" si="209"/>
        <v>6556000</v>
      </c>
      <c r="Y290" s="496">
        <f t="shared" si="209"/>
        <v>8556000</v>
      </c>
      <c r="Z290" s="496">
        <f t="shared" si="209"/>
        <v>8556000</v>
      </c>
      <c r="AA290" s="496">
        <f t="shared" si="209"/>
        <v>8556000</v>
      </c>
      <c r="AB290" s="496">
        <f t="shared" si="209"/>
        <v>1178256000</v>
      </c>
      <c r="AC290" s="496">
        <f t="shared" si="209"/>
        <v>8556000</v>
      </c>
      <c r="AD290" s="496">
        <f t="shared" si="209"/>
        <v>1178256000</v>
      </c>
      <c r="AE290" s="496">
        <f t="shared" si="209"/>
        <v>3127752000</v>
      </c>
      <c r="AF290" s="496">
        <f t="shared" si="209"/>
        <v>116800000</v>
      </c>
      <c r="AG290" s="496">
        <f t="shared" ref="AG290" si="210">SUM(AG291:AG303)</f>
        <v>2512600000</v>
      </c>
      <c r="AH290" s="500">
        <f t="shared" si="173"/>
        <v>8161000000</v>
      </c>
      <c r="AI290" s="535"/>
      <c r="AJ290" s="535"/>
      <c r="AK290" s="536"/>
      <c r="AL290" s="536"/>
      <c r="AM290" s="536"/>
      <c r="AQ290" s="440"/>
      <c r="AR290" s="285"/>
      <c r="AS290" s="285"/>
      <c r="AT290" s="285"/>
      <c r="AU290" s="285"/>
      <c r="AV290" s="285"/>
      <c r="AW290" s="285"/>
      <c r="AX290" s="285"/>
      <c r="AY290" s="285"/>
      <c r="AZ290" s="285"/>
      <c r="BA290" s="285"/>
      <c r="BB290" s="285"/>
      <c r="BC290" s="285"/>
      <c r="BD290" s="285"/>
      <c r="BE290" s="285"/>
      <c r="BF290" s="285"/>
      <c r="BG290" s="285"/>
      <c r="BH290" s="285"/>
      <c r="BI290" s="285"/>
      <c r="BJ290" s="285"/>
      <c r="BK290" s="285"/>
      <c r="BL290" s="285"/>
      <c r="BM290" s="285"/>
      <c r="BN290" s="285"/>
      <c r="BO290" s="285"/>
      <c r="BP290" s="285"/>
      <c r="BQ290" s="285"/>
      <c r="BR290" s="285"/>
      <c r="BS290" s="285"/>
      <c r="BT290" s="285"/>
      <c r="BU290" s="285"/>
      <c r="BV290" s="285"/>
    </row>
    <row r="291" spans="1:74" s="440" customFormat="1" ht="45" x14ac:dyDescent="0.2">
      <c r="A291" s="1"/>
      <c r="B291" s="677"/>
      <c r="C291" s="678"/>
      <c r="D291" s="678"/>
      <c r="E291" s="678"/>
      <c r="F291" s="678"/>
      <c r="G291" s="678"/>
      <c r="H291" s="678"/>
      <c r="I291" s="678"/>
      <c r="J291" s="737"/>
      <c r="K291" s="638" t="s">
        <v>343</v>
      </c>
      <c r="L291" s="639" t="s">
        <v>528</v>
      </c>
      <c r="M291" s="640">
        <v>44216</v>
      </c>
      <c r="N291" s="640" t="s">
        <v>627</v>
      </c>
      <c r="O291" s="641" t="s">
        <v>362</v>
      </c>
      <c r="P291" s="641" t="s">
        <v>530</v>
      </c>
      <c r="Q291" s="642"/>
      <c r="R291" s="643">
        <f>1415032087.5-22986915</f>
        <v>1392045172.5</v>
      </c>
      <c r="S291" s="644" t="s">
        <v>322</v>
      </c>
      <c r="T291" s="642">
        <v>805936900</v>
      </c>
      <c r="U291" s="462" t="s">
        <v>359</v>
      </c>
      <c r="V291" s="497"/>
      <c r="W291" s="497"/>
      <c r="X291" s="498"/>
      <c r="Y291" s="498"/>
      <c r="Z291" s="498"/>
      <c r="AA291" s="498"/>
      <c r="AB291" s="498">
        <v>359700000</v>
      </c>
      <c r="AC291" s="498">
        <v>0</v>
      </c>
      <c r="AD291" s="498">
        <v>359700000</v>
      </c>
      <c r="AE291" s="498">
        <v>959200000</v>
      </c>
      <c r="AF291" s="498">
        <v>0</v>
      </c>
      <c r="AG291" s="498">
        <v>719400000</v>
      </c>
      <c r="AH291" s="501">
        <f t="shared" si="173"/>
        <v>2398000000</v>
      </c>
      <c r="AI291" s="721">
        <v>24121</v>
      </c>
      <c r="AJ291" s="720">
        <v>44263</v>
      </c>
      <c r="AK291" s="711">
        <v>8058000000</v>
      </c>
      <c r="AL291" s="711">
        <v>8020223275.5</v>
      </c>
      <c r="AM291" s="712">
        <v>8020223275.5200005</v>
      </c>
      <c r="AN291" s="713">
        <f>(R291+R292+R293+R294+R295+R296+R297+R298+R304)-AL291</f>
        <v>37776724.5</v>
      </c>
      <c r="AO291" s="713">
        <f>+AL291-AM291</f>
        <v>-2.0000457763671875E-2</v>
      </c>
      <c r="AP291" s="723">
        <f>(R291+R292+R293+R294+R295+R296+R297+R298+R304)-AL291+AO291</f>
        <v>37776724.479999542</v>
      </c>
      <c r="AR291" s="285"/>
      <c r="AS291" s="285"/>
      <c r="AT291" s="285"/>
      <c r="AU291" s="285"/>
      <c r="AV291" s="285"/>
      <c r="AW291" s="285"/>
      <c r="AX291" s="285"/>
      <c r="AY291" s="285"/>
      <c r="AZ291" s="285"/>
      <c r="BA291" s="285"/>
      <c r="BB291" s="285"/>
      <c r="BC291" s="285"/>
      <c r="BD291" s="285"/>
      <c r="BE291" s="285"/>
      <c r="BF291" s="285"/>
      <c r="BG291" s="285"/>
      <c r="BH291" s="285"/>
      <c r="BI291" s="285"/>
      <c r="BJ291" s="285"/>
      <c r="BK291" s="285"/>
      <c r="BL291" s="285"/>
      <c r="BM291" s="285"/>
      <c r="BN291" s="285"/>
      <c r="BO291" s="285"/>
      <c r="BP291" s="285"/>
      <c r="BQ291" s="285"/>
      <c r="BR291" s="285"/>
      <c r="BS291" s="285"/>
      <c r="BT291" s="285"/>
      <c r="BU291" s="285"/>
      <c r="BV291" s="285"/>
    </row>
    <row r="292" spans="1:74" s="440" customFormat="1" ht="30" x14ac:dyDescent="0.2">
      <c r="A292" s="1"/>
      <c r="B292" s="682"/>
      <c r="C292" s="683"/>
      <c r="D292" s="683"/>
      <c r="E292" s="683"/>
      <c r="F292" s="683"/>
      <c r="G292" s="683"/>
      <c r="H292" s="683"/>
      <c r="I292" s="683"/>
      <c r="J292" s="741"/>
      <c r="K292" s="638">
        <v>81101500</v>
      </c>
      <c r="L292" s="639" t="s">
        <v>358</v>
      </c>
      <c r="M292" s="640">
        <v>44216</v>
      </c>
      <c r="N292" s="640" t="s">
        <v>627</v>
      </c>
      <c r="O292" s="641" t="s">
        <v>362</v>
      </c>
      <c r="P292" s="641" t="s">
        <v>593</v>
      </c>
      <c r="Q292" s="642"/>
      <c r="R292" s="643">
        <v>49723434</v>
      </c>
      <c r="S292" s="644" t="s">
        <v>322</v>
      </c>
      <c r="T292" s="643">
        <v>198893736</v>
      </c>
      <c r="U292" s="462" t="s">
        <v>359</v>
      </c>
      <c r="V292" s="497"/>
      <c r="W292" s="497"/>
      <c r="X292" s="498"/>
      <c r="Y292" s="498"/>
      <c r="Z292" s="498"/>
      <c r="AA292" s="498"/>
      <c r="AB292" s="498">
        <v>40500000</v>
      </c>
      <c r="AC292" s="498">
        <v>0</v>
      </c>
      <c r="AD292" s="498">
        <v>40500000</v>
      </c>
      <c r="AE292" s="498">
        <v>108000000</v>
      </c>
      <c r="AF292" s="498">
        <v>0</v>
      </c>
      <c r="AG292" s="498">
        <v>81000000</v>
      </c>
      <c r="AH292" s="501">
        <f t="shared" si="173"/>
        <v>270000000</v>
      </c>
      <c r="AI292" s="721"/>
      <c r="AJ292" s="720"/>
      <c r="AK292" s="711"/>
      <c r="AL292" s="711"/>
      <c r="AM292" s="712"/>
      <c r="AN292" s="722"/>
      <c r="AO292" s="722"/>
      <c r="AP292" s="724"/>
      <c r="AR292" s="285"/>
      <c r="AS292" s="285"/>
      <c r="AT292" s="285"/>
      <c r="AU292" s="285"/>
      <c r="AV292" s="285"/>
      <c r="AW292" s="285"/>
      <c r="AX292" s="285"/>
      <c r="AY292" s="285"/>
      <c r="AZ292" s="285"/>
      <c r="BA292" s="285"/>
      <c r="BB292" s="285"/>
      <c r="BC292" s="285"/>
      <c r="BD292" s="285"/>
      <c r="BE292" s="285"/>
      <c r="BF292" s="285"/>
      <c r="BG292" s="285"/>
      <c r="BH292" s="285"/>
      <c r="BI292" s="285"/>
      <c r="BJ292" s="285"/>
      <c r="BK292" s="285"/>
      <c r="BL292" s="285"/>
      <c r="BM292" s="285"/>
      <c r="BN292" s="285"/>
      <c r="BO292" s="285"/>
      <c r="BP292" s="285"/>
      <c r="BQ292" s="285"/>
      <c r="BR292" s="285"/>
      <c r="BS292" s="285"/>
      <c r="BT292" s="285"/>
      <c r="BU292" s="285"/>
      <c r="BV292" s="285"/>
    </row>
    <row r="293" spans="1:74" s="440" customFormat="1" ht="45" x14ac:dyDescent="0.2">
      <c r="A293" s="1"/>
      <c r="B293" s="682"/>
      <c r="C293" s="683"/>
      <c r="D293" s="683"/>
      <c r="E293" s="683"/>
      <c r="F293" s="683"/>
      <c r="G293" s="683"/>
      <c r="H293" s="683"/>
      <c r="I293" s="683"/>
      <c r="J293" s="741"/>
      <c r="K293" s="450" t="s">
        <v>343</v>
      </c>
      <c r="L293" s="451" t="s">
        <v>532</v>
      </c>
      <c r="M293" s="134">
        <v>44216</v>
      </c>
      <c r="N293" s="134" t="s">
        <v>627</v>
      </c>
      <c r="O293" s="157" t="s">
        <v>362</v>
      </c>
      <c r="P293" s="157" t="s">
        <v>530</v>
      </c>
      <c r="Q293" s="434"/>
      <c r="R293" s="637">
        <f>2830036323.36</f>
        <v>2830036323.3600001</v>
      </c>
      <c r="S293" s="453" t="s">
        <v>322</v>
      </c>
      <c r="T293" s="646">
        <v>1659778723.6600001</v>
      </c>
      <c r="U293" s="462" t="s">
        <v>359</v>
      </c>
      <c r="V293" s="497"/>
      <c r="W293" s="497"/>
      <c r="X293" s="498"/>
      <c r="Y293" s="498"/>
      <c r="Z293" s="498"/>
      <c r="AA293" s="498"/>
      <c r="AB293" s="498">
        <v>729000000</v>
      </c>
      <c r="AC293" s="498">
        <v>0</v>
      </c>
      <c r="AD293" s="498">
        <v>729000000</v>
      </c>
      <c r="AE293" s="498">
        <v>1944000000</v>
      </c>
      <c r="AF293" s="498">
        <v>0</v>
      </c>
      <c r="AG293" s="498">
        <v>1458000000</v>
      </c>
      <c r="AH293" s="501">
        <f t="shared" si="173"/>
        <v>4860000000</v>
      </c>
      <c r="AI293" s="721"/>
      <c r="AJ293" s="720"/>
      <c r="AK293" s="711"/>
      <c r="AL293" s="711"/>
      <c r="AM293" s="712"/>
      <c r="AN293" s="722"/>
      <c r="AO293" s="722"/>
      <c r="AP293" s="724"/>
      <c r="AR293" s="285"/>
      <c r="AS293" s="285"/>
      <c r="AT293" s="285"/>
      <c r="AU293" s="285"/>
      <c r="AV293" s="285"/>
      <c r="AW293" s="285"/>
      <c r="AX293" s="285"/>
      <c r="AY293" s="285"/>
      <c r="AZ293" s="285"/>
      <c r="BA293" s="285"/>
      <c r="BB293" s="285"/>
      <c r="BC293" s="285"/>
      <c r="BD293" s="285"/>
      <c r="BE293" s="285"/>
      <c r="BF293" s="285"/>
      <c r="BG293" s="285"/>
      <c r="BH293" s="285"/>
      <c r="BI293" s="285"/>
      <c r="BJ293" s="285"/>
      <c r="BK293" s="285"/>
      <c r="BL293" s="285"/>
      <c r="BM293" s="285"/>
      <c r="BN293" s="285"/>
      <c r="BO293" s="285"/>
      <c r="BP293" s="285"/>
      <c r="BQ293" s="285"/>
      <c r="BR293" s="285"/>
      <c r="BS293" s="285"/>
      <c r="BT293" s="285"/>
      <c r="BU293" s="285"/>
      <c r="BV293" s="285"/>
    </row>
    <row r="294" spans="1:74" s="440" customFormat="1" ht="30" x14ac:dyDescent="0.2">
      <c r="A294" s="1"/>
      <c r="B294" s="682"/>
      <c r="C294" s="683"/>
      <c r="D294" s="683"/>
      <c r="E294" s="683"/>
      <c r="F294" s="683"/>
      <c r="G294" s="683"/>
      <c r="H294" s="683"/>
      <c r="I294" s="683"/>
      <c r="J294" s="741"/>
      <c r="K294" s="450">
        <v>81101500</v>
      </c>
      <c r="L294" s="451" t="s">
        <v>533</v>
      </c>
      <c r="M294" s="134">
        <v>44216</v>
      </c>
      <c r="N294" s="134" t="s">
        <v>627</v>
      </c>
      <c r="O294" s="157" t="s">
        <v>362</v>
      </c>
      <c r="P294" s="157" t="s">
        <v>593</v>
      </c>
      <c r="Q294" s="434"/>
      <c r="R294" s="637">
        <f>162636094.57-32732640</f>
        <v>129903454.56999999</v>
      </c>
      <c r="S294" s="453" t="s">
        <v>322</v>
      </c>
      <c r="T294" s="101">
        <v>268000000</v>
      </c>
      <c r="U294" s="462" t="s">
        <v>359</v>
      </c>
      <c r="V294" s="497"/>
      <c r="W294" s="497"/>
      <c r="X294" s="498"/>
      <c r="Y294" s="498"/>
      <c r="Z294" s="498"/>
      <c r="AA294" s="498"/>
      <c r="AB294" s="498">
        <v>40500000</v>
      </c>
      <c r="AC294" s="498">
        <v>0</v>
      </c>
      <c r="AD294" s="498">
        <v>40500000</v>
      </c>
      <c r="AE294" s="498">
        <v>108000000</v>
      </c>
      <c r="AF294" s="498">
        <v>0</v>
      </c>
      <c r="AG294" s="498">
        <v>81000000</v>
      </c>
      <c r="AH294" s="501">
        <f t="shared" si="173"/>
        <v>270000000</v>
      </c>
      <c r="AI294" s="721"/>
      <c r="AJ294" s="720"/>
      <c r="AK294" s="711"/>
      <c r="AL294" s="711"/>
      <c r="AM294" s="712"/>
      <c r="AN294" s="722"/>
      <c r="AO294" s="722"/>
      <c r="AP294" s="724"/>
      <c r="AR294" s="285"/>
      <c r="AS294" s="285"/>
      <c r="AT294" s="285"/>
      <c r="AU294" s="285"/>
      <c r="AV294" s="285"/>
      <c r="AW294" s="285"/>
      <c r="AX294" s="285"/>
      <c r="AY294" s="285"/>
      <c r="AZ294" s="285"/>
      <c r="BA294" s="285"/>
      <c r="BB294" s="285"/>
      <c r="BC294" s="285"/>
      <c r="BD294" s="285"/>
      <c r="BE294" s="285"/>
      <c r="BF294" s="285"/>
      <c r="BG294" s="285"/>
      <c r="BH294" s="285"/>
      <c r="BI294" s="285"/>
      <c r="BJ294" s="285"/>
      <c r="BK294" s="285"/>
      <c r="BL294" s="285"/>
      <c r="BM294" s="285"/>
      <c r="BN294" s="285"/>
      <c r="BO294" s="285"/>
      <c r="BP294" s="285"/>
      <c r="BQ294" s="285"/>
      <c r="BR294" s="285"/>
      <c r="BS294" s="285"/>
      <c r="BT294" s="285"/>
      <c r="BU294" s="285"/>
      <c r="BV294" s="285"/>
    </row>
    <row r="295" spans="1:74" s="440" customFormat="1" ht="45" x14ac:dyDescent="0.2">
      <c r="A295" s="1"/>
      <c r="B295" s="682"/>
      <c r="C295" s="683"/>
      <c r="D295" s="683"/>
      <c r="E295" s="683"/>
      <c r="F295" s="683"/>
      <c r="G295" s="683"/>
      <c r="H295" s="683"/>
      <c r="I295" s="683"/>
      <c r="J295" s="741"/>
      <c r="K295" s="638" t="s">
        <v>343</v>
      </c>
      <c r="L295" s="639" t="s">
        <v>534</v>
      </c>
      <c r="M295" s="640">
        <v>44349</v>
      </c>
      <c r="N295" s="640" t="s">
        <v>627</v>
      </c>
      <c r="O295" s="641" t="s">
        <v>362</v>
      </c>
      <c r="P295" s="641" t="s">
        <v>530</v>
      </c>
      <c r="Q295" s="642"/>
      <c r="R295" s="643">
        <v>1629855432.6600001</v>
      </c>
      <c r="S295" s="644" t="s">
        <v>322</v>
      </c>
      <c r="T295" s="647">
        <v>709399416.34000003</v>
      </c>
      <c r="U295" s="462" t="s">
        <v>359</v>
      </c>
      <c r="V295" s="497"/>
      <c r="W295" s="497"/>
      <c r="X295" s="498"/>
      <c r="Y295" s="498"/>
      <c r="Z295" s="498"/>
      <c r="AA295" s="498"/>
      <c r="AB295" s="498">
        <v>0</v>
      </c>
      <c r="AC295" s="498">
        <v>0</v>
      </c>
      <c r="AD295" s="498">
        <v>0</v>
      </c>
      <c r="AE295" s="498">
        <v>0</v>
      </c>
      <c r="AF295" s="498">
        <v>52000000</v>
      </c>
      <c r="AG295" s="498">
        <v>78000000</v>
      </c>
      <c r="AH295" s="501">
        <f t="shared" si="173"/>
        <v>130000000</v>
      </c>
      <c r="AI295" s="721"/>
      <c r="AJ295" s="720"/>
      <c r="AK295" s="711"/>
      <c r="AL295" s="711"/>
      <c r="AM295" s="712"/>
      <c r="AN295" s="722"/>
      <c r="AO295" s="722"/>
      <c r="AP295" s="724"/>
      <c r="AR295" s="285"/>
      <c r="AS295" s="285"/>
      <c r="AT295" s="285"/>
      <c r="AU295" s="285"/>
      <c r="AV295" s="285"/>
      <c r="AW295" s="285"/>
      <c r="AX295" s="285"/>
      <c r="AY295" s="285"/>
      <c r="AZ295" s="285"/>
      <c r="BA295" s="285"/>
      <c r="BB295" s="285"/>
      <c r="BC295" s="285"/>
      <c r="BD295" s="285"/>
      <c r="BE295" s="285"/>
      <c r="BF295" s="285"/>
      <c r="BG295" s="285"/>
      <c r="BH295" s="285"/>
      <c r="BI295" s="285"/>
      <c r="BJ295" s="285"/>
      <c r="BK295" s="285"/>
      <c r="BL295" s="285"/>
      <c r="BM295" s="285"/>
      <c r="BN295" s="285"/>
      <c r="BO295" s="285"/>
      <c r="BP295" s="285"/>
      <c r="BQ295" s="285"/>
      <c r="BR295" s="285"/>
      <c r="BS295" s="285"/>
      <c r="BT295" s="285"/>
      <c r="BU295" s="285"/>
      <c r="BV295" s="285"/>
    </row>
    <row r="296" spans="1:74" s="440" customFormat="1" ht="30" x14ac:dyDescent="0.2">
      <c r="A296" s="1"/>
      <c r="B296" s="682"/>
      <c r="C296" s="683"/>
      <c r="D296" s="683"/>
      <c r="E296" s="683"/>
      <c r="F296" s="683"/>
      <c r="G296" s="683"/>
      <c r="H296" s="683"/>
      <c r="I296" s="683"/>
      <c r="J296" s="741"/>
      <c r="K296" s="638">
        <v>81101500</v>
      </c>
      <c r="L296" s="639" t="s">
        <v>535</v>
      </c>
      <c r="M296" s="640">
        <v>44349</v>
      </c>
      <c r="N296" s="640" t="s">
        <v>627</v>
      </c>
      <c r="O296" s="641" t="s">
        <v>362</v>
      </c>
      <c r="P296" s="641" t="s">
        <v>593</v>
      </c>
      <c r="Q296" s="642"/>
      <c r="R296" s="643">
        <v>99446868</v>
      </c>
      <c r="S296" s="644" t="s">
        <v>322</v>
      </c>
      <c r="T296" s="643">
        <v>149170302</v>
      </c>
      <c r="U296" s="462" t="s">
        <v>359</v>
      </c>
      <c r="V296" s="497"/>
      <c r="W296" s="497"/>
      <c r="X296" s="498"/>
      <c r="Y296" s="498"/>
      <c r="Z296" s="498"/>
      <c r="AA296" s="498"/>
      <c r="AB296" s="498">
        <v>0</v>
      </c>
      <c r="AC296" s="498">
        <v>0</v>
      </c>
      <c r="AD296" s="498">
        <v>0</v>
      </c>
      <c r="AE296" s="498">
        <v>0</v>
      </c>
      <c r="AF296" s="498">
        <v>5400000</v>
      </c>
      <c r="AG296" s="498">
        <v>8100000</v>
      </c>
      <c r="AH296" s="501">
        <f t="shared" si="173"/>
        <v>13500000</v>
      </c>
      <c r="AI296" s="721"/>
      <c r="AJ296" s="720"/>
      <c r="AK296" s="711"/>
      <c r="AL296" s="711"/>
      <c r="AM296" s="712"/>
      <c r="AN296" s="722"/>
      <c r="AO296" s="722"/>
      <c r="AP296" s="724"/>
      <c r="AR296" s="285"/>
      <c r="AS296" s="285"/>
      <c r="AT296" s="285"/>
      <c r="AU296" s="285"/>
      <c r="AV296" s="285"/>
      <c r="AW296" s="285"/>
      <c r="AX296" s="285"/>
      <c r="AY296" s="285"/>
      <c r="AZ296" s="285"/>
      <c r="BA296" s="285"/>
      <c r="BB296" s="285"/>
      <c r="BC296" s="285"/>
      <c r="BD296" s="285"/>
      <c r="BE296" s="285"/>
      <c r="BF296" s="285"/>
      <c r="BG296" s="285"/>
      <c r="BH296" s="285"/>
      <c r="BI296" s="285"/>
      <c r="BJ296" s="285"/>
      <c r="BK296" s="285"/>
      <c r="BL296" s="285"/>
      <c r="BM296" s="285"/>
      <c r="BN296" s="285"/>
      <c r="BO296" s="285"/>
      <c r="BP296" s="285"/>
      <c r="BQ296" s="285"/>
      <c r="BR296" s="285"/>
      <c r="BS296" s="285"/>
      <c r="BT296" s="285"/>
      <c r="BU296" s="285"/>
      <c r="BV296" s="285"/>
    </row>
    <row r="297" spans="1:74" s="440" customFormat="1" ht="45" x14ac:dyDescent="0.2">
      <c r="A297" s="1"/>
      <c r="B297" s="682"/>
      <c r="C297" s="683"/>
      <c r="D297" s="683"/>
      <c r="E297" s="683"/>
      <c r="F297" s="683"/>
      <c r="G297" s="683"/>
      <c r="H297" s="683"/>
      <c r="I297" s="683"/>
      <c r="J297" s="741"/>
      <c r="K297" s="450" t="s">
        <v>343</v>
      </c>
      <c r="L297" s="451" t="s">
        <v>587</v>
      </c>
      <c r="M297" s="134">
        <v>44349</v>
      </c>
      <c r="N297" s="134" t="s">
        <v>627</v>
      </c>
      <c r="O297" s="157" t="s">
        <v>362</v>
      </c>
      <c r="P297" s="157" t="s">
        <v>530</v>
      </c>
      <c r="Q297" s="434"/>
      <c r="R297" s="637">
        <v>1759033240.9100001</v>
      </c>
      <c r="S297" s="453" t="s">
        <v>322</v>
      </c>
      <c r="T297" s="543">
        <v>91676797.090000004</v>
      </c>
      <c r="U297" s="462" t="s">
        <v>359</v>
      </c>
      <c r="V297" s="497"/>
      <c r="W297" s="497"/>
      <c r="X297" s="498"/>
      <c r="Y297" s="498"/>
      <c r="Z297" s="498"/>
      <c r="AA297" s="498"/>
      <c r="AB297" s="498">
        <v>0</v>
      </c>
      <c r="AC297" s="498">
        <v>0</v>
      </c>
      <c r="AD297" s="498">
        <v>0</v>
      </c>
      <c r="AE297" s="498">
        <v>0</v>
      </c>
      <c r="AF297" s="498">
        <v>52000000</v>
      </c>
      <c r="AG297" s="498">
        <v>78000000</v>
      </c>
      <c r="AH297" s="501">
        <f t="shared" si="173"/>
        <v>130000000</v>
      </c>
      <c r="AI297" s="721"/>
      <c r="AJ297" s="720"/>
      <c r="AK297" s="711"/>
      <c r="AL297" s="711"/>
      <c r="AM297" s="712"/>
      <c r="AN297" s="722"/>
      <c r="AO297" s="722"/>
      <c r="AP297" s="724"/>
      <c r="AQ297" s="527"/>
      <c r="AR297" s="285"/>
      <c r="AS297" s="285"/>
      <c r="AT297" s="285"/>
      <c r="AU297" s="285"/>
      <c r="AV297" s="285"/>
      <c r="AW297" s="285"/>
      <c r="AX297" s="285"/>
      <c r="AY297" s="285"/>
      <c r="AZ297" s="285"/>
      <c r="BA297" s="285"/>
      <c r="BB297" s="285"/>
      <c r="BC297" s="285"/>
      <c r="BD297" s="285"/>
      <c r="BE297" s="285"/>
      <c r="BF297" s="285"/>
      <c r="BG297" s="285"/>
      <c r="BH297" s="285"/>
      <c r="BI297" s="285"/>
      <c r="BJ297" s="285"/>
      <c r="BK297" s="285"/>
      <c r="BL297" s="285"/>
      <c r="BM297" s="285"/>
      <c r="BN297" s="285"/>
      <c r="BO297" s="285"/>
      <c r="BP297" s="285"/>
      <c r="BQ297" s="285"/>
      <c r="BR297" s="285"/>
      <c r="BS297" s="285"/>
      <c r="BT297" s="285"/>
      <c r="BU297" s="285"/>
      <c r="BV297" s="285"/>
    </row>
    <row r="298" spans="1:74" s="440" customFormat="1" ht="39" customHeight="1" x14ac:dyDescent="0.2">
      <c r="A298" s="1"/>
      <c r="B298" s="682"/>
      <c r="C298" s="683"/>
      <c r="D298" s="683"/>
      <c r="E298" s="683"/>
      <c r="F298" s="683"/>
      <c r="G298" s="683"/>
      <c r="H298" s="683"/>
      <c r="I298" s="683"/>
      <c r="J298" s="741"/>
      <c r="K298" s="450">
        <v>81101500</v>
      </c>
      <c r="L298" s="451" t="s">
        <v>586</v>
      </c>
      <c r="M298" s="134">
        <v>44349</v>
      </c>
      <c r="N298" s="134" t="s">
        <v>627</v>
      </c>
      <c r="O298" s="157" t="s">
        <v>362</v>
      </c>
      <c r="P298" s="157" t="s">
        <v>593</v>
      </c>
      <c r="Q298" s="434"/>
      <c r="R298" s="637">
        <v>49723434</v>
      </c>
      <c r="S298" s="453" t="s">
        <v>322</v>
      </c>
      <c r="T298" s="637">
        <v>99446868</v>
      </c>
      <c r="U298" s="462" t="s">
        <v>359</v>
      </c>
      <c r="V298" s="497"/>
      <c r="W298" s="497"/>
      <c r="X298" s="498"/>
      <c r="Y298" s="498"/>
      <c r="Z298" s="498"/>
      <c r="AA298" s="498"/>
      <c r="AB298" s="498">
        <v>0</v>
      </c>
      <c r="AC298" s="498">
        <v>0</v>
      </c>
      <c r="AD298" s="498">
        <v>0</v>
      </c>
      <c r="AE298" s="498">
        <v>0</v>
      </c>
      <c r="AF298" s="498">
        <v>5400000</v>
      </c>
      <c r="AG298" s="498">
        <v>8100000</v>
      </c>
      <c r="AH298" s="501">
        <f t="shared" si="173"/>
        <v>13500000</v>
      </c>
      <c r="AI298" s="721"/>
      <c r="AJ298" s="720"/>
      <c r="AK298" s="711"/>
      <c r="AL298" s="711"/>
      <c r="AM298" s="712"/>
      <c r="AN298" s="714"/>
      <c r="AO298" s="714"/>
      <c r="AP298" s="725"/>
      <c r="AR298" s="285"/>
      <c r="AS298" s="285"/>
      <c r="AT298" s="285"/>
      <c r="AU298" s="285"/>
      <c r="AV298" s="285"/>
      <c r="AW298" s="285"/>
      <c r="AX298" s="285"/>
      <c r="AY298" s="285"/>
      <c r="AZ298" s="285"/>
      <c r="BA298" s="285"/>
      <c r="BB298" s="285"/>
      <c r="BC298" s="285"/>
      <c r="BD298" s="285"/>
      <c r="BE298" s="285"/>
      <c r="BF298" s="285"/>
      <c r="BG298" s="285"/>
      <c r="BH298" s="285"/>
      <c r="BI298" s="285"/>
      <c r="BJ298" s="285"/>
      <c r="BK298" s="285"/>
      <c r="BL298" s="285"/>
      <c r="BM298" s="285"/>
      <c r="BN298" s="285"/>
      <c r="BO298" s="285"/>
      <c r="BP298" s="285"/>
      <c r="BQ298" s="285"/>
      <c r="BR298" s="285"/>
      <c r="BS298" s="285"/>
      <c r="BT298" s="285"/>
      <c r="BU298" s="285"/>
      <c r="BV298" s="285"/>
    </row>
    <row r="299" spans="1:74" s="440" customFormat="1" ht="63" customHeight="1" x14ac:dyDescent="0.2">
      <c r="A299" s="1"/>
      <c r="B299" s="682"/>
      <c r="C299" s="683"/>
      <c r="D299" s="683"/>
      <c r="E299" s="683"/>
      <c r="F299" s="683"/>
      <c r="G299" s="683"/>
      <c r="H299" s="683"/>
      <c r="I299" s="683"/>
      <c r="J299" s="741"/>
      <c r="K299" s="645">
        <v>81101500</v>
      </c>
      <c r="L299" s="639" t="s">
        <v>349</v>
      </c>
      <c r="M299" s="640">
        <v>44206</v>
      </c>
      <c r="N299" s="640" t="s">
        <v>536</v>
      </c>
      <c r="O299" s="641" t="s">
        <v>362</v>
      </c>
      <c r="P299" s="641" t="s">
        <v>537</v>
      </c>
      <c r="Q299" s="642"/>
      <c r="R299" s="642">
        <f>76000000-30000000</f>
        <v>46000000</v>
      </c>
      <c r="S299" s="644" t="s">
        <v>386</v>
      </c>
      <c r="T299" s="642"/>
      <c r="U299" s="462" t="s">
        <v>359</v>
      </c>
      <c r="V299" s="497"/>
      <c r="W299" s="497">
        <v>6556000</v>
      </c>
      <c r="X299" s="497">
        <v>6556000</v>
      </c>
      <c r="Y299" s="497">
        <v>6556000</v>
      </c>
      <c r="Z299" s="497">
        <v>6556000</v>
      </c>
      <c r="AA299" s="497">
        <v>6556000</v>
      </c>
      <c r="AB299" s="497">
        <v>6556000</v>
      </c>
      <c r="AC299" s="497">
        <v>6556000</v>
      </c>
      <c r="AD299" s="497">
        <v>6556000</v>
      </c>
      <c r="AE299" s="497">
        <v>6552000</v>
      </c>
      <c r="AF299" s="498"/>
      <c r="AG299" s="498"/>
      <c r="AH299" s="501">
        <f t="shared" si="173"/>
        <v>59000000</v>
      </c>
      <c r="AI299" s="667">
        <v>4421</v>
      </c>
      <c r="AJ299" s="538">
        <v>44214</v>
      </c>
      <c r="AK299" s="536">
        <v>34400000</v>
      </c>
      <c r="AL299" s="536">
        <v>45150000</v>
      </c>
      <c r="AM299" s="536">
        <v>45150000</v>
      </c>
      <c r="AN299" s="532">
        <f>+R299-AL299</f>
        <v>850000</v>
      </c>
      <c r="AO299" s="532">
        <f>+AL299-AM299</f>
        <v>0</v>
      </c>
      <c r="AP299" s="533">
        <f>R299-AL299+AO299</f>
        <v>850000</v>
      </c>
      <c r="AR299" s="285"/>
      <c r="AS299" s="285"/>
      <c r="AT299" s="285"/>
      <c r="AU299" s="285"/>
      <c r="AV299" s="285"/>
      <c r="AW299" s="285"/>
      <c r="AX299" s="285"/>
      <c r="AY299" s="285"/>
      <c r="AZ299" s="285"/>
      <c r="BA299" s="285"/>
      <c r="BB299" s="285"/>
      <c r="BC299" s="285"/>
      <c r="BD299" s="285"/>
      <c r="BE299" s="285"/>
      <c r="BF299" s="285"/>
      <c r="BG299" s="285"/>
      <c r="BH299" s="285"/>
      <c r="BI299" s="285"/>
      <c r="BJ299" s="285"/>
      <c r="BK299" s="285"/>
      <c r="BL299" s="285"/>
      <c r="BM299" s="285"/>
      <c r="BN299" s="285"/>
      <c r="BO299" s="285"/>
      <c r="BP299" s="285"/>
      <c r="BQ299" s="285"/>
      <c r="BR299" s="285"/>
      <c r="BS299" s="285"/>
      <c r="BT299" s="285"/>
      <c r="BU299" s="285"/>
      <c r="BV299" s="285"/>
    </row>
    <row r="300" spans="1:74" s="440" customFormat="1" ht="30" customHeight="1" x14ac:dyDescent="0.2">
      <c r="B300" s="682"/>
      <c r="C300" s="683"/>
      <c r="D300" s="683"/>
      <c r="E300" s="683"/>
      <c r="F300" s="683"/>
      <c r="G300" s="683"/>
      <c r="H300" s="683"/>
      <c r="I300" s="683"/>
      <c r="J300" s="741"/>
      <c r="K300" s="447">
        <v>81101500</v>
      </c>
      <c r="L300" s="451" t="s">
        <v>600</v>
      </c>
      <c r="M300" s="134">
        <v>43941</v>
      </c>
      <c r="N300" s="134" t="s">
        <v>573</v>
      </c>
      <c r="O300" s="157" t="s">
        <v>331</v>
      </c>
      <c r="P300" s="157" t="s">
        <v>531</v>
      </c>
      <c r="Q300" s="434"/>
      <c r="R300" s="101">
        <v>30000000</v>
      </c>
      <c r="S300" s="453" t="s">
        <v>350</v>
      </c>
      <c r="T300" s="101"/>
      <c r="U300" s="462" t="s">
        <v>359</v>
      </c>
      <c r="V300" s="497"/>
      <c r="W300" s="497"/>
      <c r="X300" s="497"/>
      <c r="Y300" s="497"/>
      <c r="Z300" s="497"/>
      <c r="AA300" s="497"/>
      <c r="AB300" s="497"/>
      <c r="AC300" s="497"/>
      <c r="AD300" s="497"/>
      <c r="AE300" s="497"/>
      <c r="AF300" s="498"/>
      <c r="AG300" s="498"/>
      <c r="AH300" s="501"/>
      <c r="AI300" s="667">
        <v>24221</v>
      </c>
      <c r="AJ300" s="538">
        <v>44263</v>
      </c>
      <c r="AK300" s="536">
        <v>30000000</v>
      </c>
      <c r="AL300" s="536">
        <v>30000000</v>
      </c>
      <c r="AM300" s="536">
        <v>30000000</v>
      </c>
      <c r="AN300" s="532">
        <f>+R300-AL300</f>
        <v>0</v>
      </c>
      <c r="AO300" s="532">
        <f t="shared" ref="AO299:AO301" si="211">+AL300-AM300</f>
        <v>0</v>
      </c>
      <c r="AP300" s="533">
        <f>R300-AL300+AO300</f>
        <v>0</v>
      </c>
      <c r="AR300" s="285"/>
      <c r="AS300" s="285"/>
      <c r="AT300" s="285"/>
      <c r="AU300" s="285"/>
      <c r="AV300" s="285"/>
      <c r="AW300" s="285"/>
      <c r="AX300" s="285"/>
      <c r="AY300" s="285"/>
      <c r="AZ300" s="285"/>
      <c r="BA300" s="285"/>
      <c r="BB300" s="285"/>
      <c r="BC300" s="285"/>
      <c r="BD300" s="285"/>
      <c r="BE300" s="285"/>
      <c r="BF300" s="285"/>
      <c r="BG300" s="285"/>
      <c r="BH300" s="285"/>
      <c r="BI300" s="285"/>
      <c r="BJ300" s="285"/>
      <c r="BK300" s="285"/>
      <c r="BL300" s="285"/>
      <c r="BM300" s="285"/>
      <c r="BN300" s="285"/>
      <c r="BO300" s="285"/>
      <c r="BP300" s="285"/>
      <c r="BQ300" s="285"/>
      <c r="BR300" s="285"/>
      <c r="BS300" s="285"/>
      <c r="BT300" s="285"/>
      <c r="BU300" s="285"/>
      <c r="BV300" s="285"/>
    </row>
    <row r="301" spans="1:74" s="440" customFormat="1" ht="30" x14ac:dyDescent="0.2">
      <c r="A301" s="1"/>
      <c r="B301" s="682"/>
      <c r="C301" s="683"/>
      <c r="D301" s="683"/>
      <c r="E301" s="683"/>
      <c r="F301" s="683"/>
      <c r="G301" s="683"/>
      <c r="H301" s="683"/>
      <c r="I301" s="683"/>
      <c r="J301" s="741"/>
      <c r="K301" s="450">
        <v>90121600</v>
      </c>
      <c r="L301" s="451" t="s">
        <v>594</v>
      </c>
      <c r="M301" s="134">
        <v>44229</v>
      </c>
      <c r="N301" s="134" t="s">
        <v>539</v>
      </c>
      <c r="O301" s="157" t="s">
        <v>324</v>
      </c>
      <c r="P301" s="157" t="s">
        <v>375</v>
      </c>
      <c r="Q301" s="434"/>
      <c r="R301" s="101">
        <v>15000000</v>
      </c>
      <c r="S301" s="453" t="s">
        <v>386</v>
      </c>
      <c r="T301" s="101"/>
      <c r="U301" s="462" t="s">
        <v>270</v>
      </c>
      <c r="V301" s="497"/>
      <c r="W301" s="497"/>
      <c r="X301" s="498"/>
      <c r="Y301" s="498">
        <v>1000000</v>
      </c>
      <c r="Z301" s="498">
        <v>1000000</v>
      </c>
      <c r="AA301" s="498">
        <v>1000000</v>
      </c>
      <c r="AB301" s="498">
        <v>1000000</v>
      </c>
      <c r="AC301" s="498">
        <v>1000000</v>
      </c>
      <c r="AD301" s="498">
        <v>1000000</v>
      </c>
      <c r="AE301" s="498">
        <v>1000000</v>
      </c>
      <c r="AF301" s="498">
        <v>1000000</v>
      </c>
      <c r="AG301" s="498">
        <v>1000000</v>
      </c>
      <c r="AH301" s="501">
        <f t="shared" si="173"/>
        <v>9000000</v>
      </c>
      <c r="AI301" s="667">
        <v>9121</v>
      </c>
      <c r="AJ301" s="538">
        <v>44222</v>
      </c>
      <c r="AK301" s="536">
        <v>15000000</v>
      </c>
      <c r="AL301" s="536">
        <v>15000000</v>
      </c>
      <c r="AM301" s="536">
        <v>15000000</v>
      </c>
      <c r="AN301" s="532">
        <f>+R301-AL301</f>
        <v>0</v>
      </c>
      <c r="AO301" s="532">
        <f t="shared" si="211"/>
        <v>0</v>
      </c>
      <c r="AP301" s="533">
        <f>R301-AL301+AO301</f>
        <v>0</v>
      </c>
      <c r="AR301" s="285"/>
      <c r="AS301" s="285"/>
      <c r="AT301" s="285"/>
      <c r="AU301" s="285"/>
      <c r="AV301" s="285"/>
      <c r="AW301" s="285"/>
      <c r="AX301" s="285"/>
      <c r="AY301" s="285"/>
      <c r="AZ301" s="285"/>
      <c r="BA301" s="285"/>
      <c r="BB301" s="285"/>
      <c r="BC301" s="285"/>
      <c r="BD301" s="285"/>
      <c r="BE301" s="285"/>
      <c r="BF301" s="285"/>
      <c r="BG301" s="285"/>
      <c r="BH301" s="285"/>
      <c r="BI301" s="285"/>
      <c r="BJ301" s="285"/>
      <c r="BK301" s="285"/>
      <c r="BL301" s="285"/>
      <c r="BM301" s="285"/>
      <c r="BN301" s="285"/>
      <c r="BO301" s="285"/>
      <c r="BP301" s="285"/>
      <c r="BQ301" s="285"/>
      <c r="BR301" s="285"/>
      <c r="BS301" s="285"/>
      <c r="BT301" s="285"/>
      <c r="BU301" s="285"/>
      <c r="BV301" s="285"/>
    </row>
    <row r="302" spans="1:74" s="440" customFormat="1" ht="30" customHeight="1" x14ac:dyDescent="0.2">
      <c r="A302" s="1"/>
      <c r="B302" s="682"/>
      <c r="C302" s="683"/>
      <c r="D302" s="683"/>
      <c r="E302" s="683"/>
      <c r="F302" s="683"/>
      <c r="G302" s="683"/>
      <c r="H302" s="683"/>
      <c r="I302" s="683"/>
      <c r="J302" s="741"/>
      <c r="K302" s="447">
        <v>90111500</v>
      </c>
      <c r="L302" s="451" t="s">
        <v>352</v>
      </c>
      <c r="M302" s="134">
        <v>44206</v>
      </c>
      <c r="N302" s="134" t="s">
        <v>540</v>
      </c>
      <c r="O302" s="157" t="s">
        <v>324</v>
      </c>
      <c r="P302" s="157" t="s">
        <v>375</v>
      </c>
      <c r="Q302" s="434"/>
      <c r="R302" s="101">
        <v>6000000</v>
      </c>
      <c r="S302" s="453" t="s">
        <v>350</v>
      </c>
      <c r="T302" s="101"/>
      <c r="U302" s="462" t="s">
        <v>359</v>
      </c>
      <c r="V302" s="497"/>
      <c r="W302" s="497"/>
      <c r="X302" s="498"/>
      <c r="Y302" s="498">
        <v>500000</v>
      </c>
      <c r="Z302" s="498">
        <v>500000</v>
      </c>
      <c r="AA302" s="498">
        <v>500000</v>
      </c>
      <c r="AB302" s="498">
        <v>500000</v>
      </c>
      <c r="AC302" s="498">
        <v>500000</v>
      </c>
      <c r="AD302" s="498">
        <v>500000</v>
      </c>
      <c r="AE302" s="498">
        <v>500000</v>
      </c>
      <c r="AF302" s="498">
        <v>500000</v>
      </c>
      <c r="AG302" s="498"/>
      <c r="AH302" s="501">
        <f t="shared" si="173"/>
        <v>4000000</v>
      </c>
      <c r="AI302" s="721">
        <v>6921</v>
      </c>
      <c r="AJ302" s="726">
        <v>44218</v>
      </c>
      <c r="AK302" s="536">
        <v>12000000</v>
      </c>
      <c r="AL302" s="536">
        <v>12000000</v>
      </c>
      <c r="AM302" s="536">
        <v>2113016</v>
      </c>
      <c r="AN302" s="713">
        <f>(R302+R303)-AL302</f>
        <v>0</v>
      </c>
      <c r="AO302" s="713">
        <f>(R302+R303)-AM302</f>
        <v>9886984</v>
      </c>
      <c r="AP302" s="723">
        <f>(R302+R303)-AL302+AO302</f>
        <v>9886984</v>
      </c>
      <c r="AR302" s="285"/>
      <c r="AS302" s="285"/>
      <c r="AT302" s="285"/>
      <c r="AU302" s="285"/>
      <c r="AV302" s="285"/>
      <c r="AW302" s="285"/>
      <c r="AX302" s="285"/>
      <c r="AY302" s="285"/>
      <c r="AZ302" s="285"/>
      <c r="BA302" s="285"/>
      <c r="BB302" s="285"/>
      <c r="BC302" s="285"/>
      <c r="BD302" s="285"/>
      <c r="BE302" s="285"/>
      <c r="BF302" s="285"/>
      <c r="BG302" s="285"/>
      <c r="BH302" s="285"/>
      <c r="BI302" s="285"/>
      <c r="BJ302" s="285"/>
      <c r="BK302" s="285"/>
      <c r="BL302" s="285"/>
      <c r="BM302" s="285"/>
      <c r="BN302" s="285"/>
      <c r="BO302" s="285"/>
      <c r="BP302" s="285"/>
      <c r="BQ302" s="285"/>
      <c r="BR302" s="285"/>
      <c r="BS302" s="285"/>
      <c r="BT302" s="285"/>
      <c r="BU302" s="285"/>
      <c r="BV302" s="285"/>
    </row>
    <row r="303" spans="1:74" s="440" customFormat="1" ht="30" customHeight="1" x14ac:dyDescent="0.2">
      <c r="B303" s="682"/>
      <c r="C303" s="683"/>
      <c r="D303" s="683"/>
      <c r="E303" s="683"/>
      <c r="F303" s="683"/>
      <c r="G303" s="683"/>
      <c r="H303" s="683"/>
      <c r="I303" s="683"/>
      <c r="J303" s="741"/>
      <c r="K303" s="447">
        <v>90101500</v>
      </c>
      <c r="L303" s="451" t="s">
        <v>353</v>
      </c>
      <c r="M303" s="134">
        <v>44206</v>
      </c>
      <c r="N303" s="134" t="s">
        <v>540</v>
      </c>
      <c r="O303" s="157" t="s">
        <v>324</v>
      </c>
      <c r="P303" s="157" t="s">
        <v>375</v>
      </c>
      <c r="Q303" s="434"/>
      <c r="R303" s="101">
        <v>6000000</v>
      </c>
      <c r="S303" s="453" t="s">
        <v>350</v>
      </c>
      <c r="T303" s="101"/>
      <c r="U303" s="462" t="s">
        <v>359</v>
      </c>
      <c r="V303" s="497"/>
      <c r="W303" s="497"/>
      <c r="X303" s="498"/>
      <c r="Y303" s="498">
        <v>500000</v>
      </c>
      <c r="Z303" s="498">
        <v>500000</v>
      </c>
      <c r="AA303" s="498">
        <v>500000</v>
      </c>
      <c r="AB303" s="498">
        <v>500000</v>
      </c>
      <c r="AC303" s="498">
        <v>500000</v>
      </c>
      <c r="AD303" s="498">
        <v>500000</v>
      </c>
      <c r="AE303" s="498">
        <v>500000</v>
      </c>
      <c r="AF303" s="498">
        <v>500000</v>
      </c>
      <c r="AG303" s="498"/>
      <c r="AH303" s="501">
        <f t="shared" si="173"/>
        <v>4000000</v>
      </c>
      <c r="AI303" s="721"/>
      <c r="AJ303" s="726"/>
      <c r="AK303" s="536"/>
      <c r="AL303" s="536"/>
      <c r="AM303" s="536"/>
      <c r="AN303" s="714"/>
      <c r="AO303" s="714"/>
      <c r="AP303" s="725"/>
      <c r="AR303" s="285"/>
      <c r="AS303" s="285"/>
      <c r="AT303" s="285"/>
      <c r="AU303" s="285"/>
      <c r="AV303" s="285"/>
      <c r="AW303" s="285"/>
      <c r="AX303" s="285"/>
      <c r="AY303" s="285"/>
      <c r="AZ303" s="285"/>
      <c r="BA303" s="285"/>
      <c r="BB303" s="285"/>
      <c r="BC303" s="285"/>
      <c r="BD303" s="285"/>
      <c r="BE303" s="285"/>
      <c r="BF303" s="285"/>
      <c r="BG303" s="285"/>
      <c r="BH303" s="285"/>
      <c r="BI303" s="285"/>
      <c r="BJ303" s="285"/>
      <c r="BK303" s="285"/>
      <c r="BL303" s="285"/>
      <c r="BM303" s="285"/>
      <c r="BN303" s="285"/>
      <c r="BO303" s="285"/>
      <c r="BP303" s="285"/>
      <c r="BQ303" s="285"/>
      <c r="BR303" s="285"/>
      <c r="BS303" s="285"/>
      <c r="BT303" s="285"/>
      <c r="BU303" s="285"/>
      <c r="BV303" s="285"/>
    </row>
    <row r="304" spans="1:74" s="440" customFormat="1" ht="63" customHeight="1" x14ac:dyDescent="0.2">
      <c r="B304" s="623"/>
      <c r="C304" s="624"/>
      <c r="D304" s="624"/>
      <c r="E304" s="624"/>
      <c r="F304" s="624"/>
      <c r="G304" s="624"/>
      <c r="H304" s="624"/>
      <c r="I304" s="624"/>
      <c r="J304" s="624"/>
      <c r="K304" s="450" t="s">
        <v>671</v>
      </c>
      <c r="L304" s="451" t="s">
        <v>678</v>
      </c>
      <c r="M304" s="134">
        <v>44494</v>
      </c>
      <c r="N304" s="134" t="s">
        <v>668</v>
      </c>
      <c r="O304" s="157" t="s">
        <v>294</v>
      </c>
      <c r="P304" s="157" t="s">
        <v>595</v>
      </c>
      <c r="Q304" s="434"/>
      <c r="R304" s="101">
        <f>85500000+32732640</f>
        <v>118232640</v>
      </c>
      <c r="S304" s="453" t="s">
        <v>350</v>
      </c>
      <c r="T304" s="101"/>
      <c r="U304" s="462" t="s">
        <v>359</v>
      </c>
      <c r="V304" s="497"/>
      <c r="W304" s="497"/>
      <c r="X304" s="498"/>
      <c r="Y304" s="498"/>
      <c r="Z304" s="498"/>
      <c r="AA304" s="498"/>
      <c r="AB304" s="498"/>
      <c r="AC304" s="498"/>
      <c r="AD304" s="498"/>
      <c r="AE304" s="498"/>
      <c r="AF304" s="498"/>
      <c r="AG304" s="498">
        <v>85500000</v>
      </c>
      <c r="AH304" s="501">
        <f t="shared" ref="AH304" si="212">SUM(V304:AG304)</f>
        <v>85500000</v>
      </c>
      <c r="AI304" s="630"/>
      <c r="AJ304" s="631"/>
      <c r="AK304" s="536"/>
      <c r="AL304" s="536"/>
      <c r="AM304" s="536"/>
      <c r="AN304" s="625"/>
      <c r="AO304" s="626"/>
      <c r="AP304" s="627"/>
      <c r="AR304" s="285"/>
      <c r="AS304" s="285"/>
      <c r="AT304" s="285"/>
      <c r="AU304" s="285"/>
      <c r="AV304" s="285"/>
      <c r="AW304" s="285"/>
      <c r="AX304" s="285"/>
      <c r="AY304" s="285"/>
      <c r="AZ304" s="285"/>
      <c r="BA304" s="285"/>
      <c r="BB304" s="285"/>
      <c r="BC304" s="285"/>
      <c r="BD304" s="285"/>
      <c r="BE304" s="285"/>
      <c r="BF304" s="285"/>
      <c r="BG304" s="285"/>
      <c r="BH304" s="285"/>
      <c r="BI304" s="285"/>
      <c r="BJ304" s="285"/>
      <c r="BK304" s="285"/>
      <c r="BL304" s="285"/>
      <c r="BM304" s="285"/>
      <c r="BN304" s="285"/>
      <c r="BO304" s="285"/>
      <c r="BP304" s="285"/>
      <c r="BQ304" s="285"/>
      <c r="BR304" s="285"/>
      <c r="BS304" s="285"/>
      <c r="BT304" s="285"/>
      <c r="BU304" s="285"/>
      <c r="BV304" s="285"/>
    </row>
    <row r="305" spans="2:74" ht="30.75" customHeight="1" thickBot="1" x14ac:dyDescent="0.25">
      <c r="B305" s="103" t="s">
        <v>149</v>
      </c>
      <c r="C305" s="104"/>
      <c r="D305" s="104" t="s">
        <v>150</v>
      </c>
      <c r="E305" s="104"/>
      <c r="F305" s="104" t="s">
        <v>151</v>
      </c>
      <c r="G305" s="104"/>
      <c r="H305" s="104" t="s">
        <v>32</v>
      </c>
      <c r="I305" s="104"/>
      <c r="J305" s="211"/>
      <c r="K305" s="13"/>
      <c r="L305" s="411" t="s">
        <v>170</v>
      </c>
      <c r="M305" s="131"/>
      <c r="N305" s="131"/>
      <c r="O305" s="154"/>
      <c r="P305" s="154"/>
      <c r="Q305" s="434">
        <f>+Q306</f>
        <v>8538000000</v>
      </c>
      <c r="R305" s="16">
        <f>+R306</f>
        <v>8538000000</v>
      </c>
      <c r="S305" s="218"/>
      <c r="T305" s="17"/>
      <c r="U305" s="252"/>
      <c r="V305" s="495">
        <f>+V306</f>
        <v>0</v>
      </c>
      <c r="W305" s="495">
        <f>+W306</f>
        <v>49395000</v>
      </c>
      <c r="X305" s="496">
        <f>+X306</f>
        <v>49395000</v>
      </c>
      <c r="Y305" s="496">
        <f>+Y306</f>
        <v>190118000</v>
      </c>
      <c r="Z305" s="496">
        <f>+Z306</f>
        <v>636118000</v>
      </c>
      <c r="AA305" s="496">
        <f t="shared" ref="AA305:AG305" si="213">+AA306</f>
        <v>1468118000</v>
      </c>
      <c r="AB305" s="496">
        <f t="shared" si="213"/>
        <v>2882118000</v>
      </c>
      <c r="AC305" s="496">
        <f t="shared" si="213"/>
        <v>2812118000</v>
      </c>
      <c r="AD305" s="496">
        <f t="shared" si="213"/>
        <v>354118000</v>
      </c>
      <c r="AE305" s="496">
        <f t="shared" si="213"/>
        <v>54115000</v>
      </c>
      <c r="AF305" s="496">
        <f t="shared" si="213"/>
        <v>37451000</v>
      </c>
      <c r="AG305" s="496">
        <f t="shared" si="213"/>
        <v>4936000</v>
      </c>
      <c r="AH305" s="500">
        <f t="shared" si="173"/>
        <v>8538000000</v>
      </c>
      <c r="AI305" s="535"/>
      <c r="AJ305" s="535"/>
      <c r="AK305" s="536"/>
      <c r="AL305" s="536"/>
      <c r="AM305" s="536"/>
      <c r="AQ305" s="440"/>
      <c r="AR305" s="285"/>
      <c r="AS305" s="285"/>
      <c r="AT305" s="285"/>
      <c r="AU305" s="285"/>
      <c r="AV305" s="285"/>
      <c r="AW305" s="285"/>
      <c r="AX305" s="285"/>
      <c r="AY305" s="285"/>
      <c r="AZ305" s="285"/>
      <c r="BA305" s="285"/>
      <c r="BB305" s="285"/>
      <c r="BC305" s="285"/>
      <c r="BD305" s="285"/>
      <c r="BE305" s="285"/>
      <c r="BF305" s="285"/>
      <c r="BG305" s="285"/>
      <c r="BH305" s="285"/>
      <c r="BI305" s="285"/>
      <c r="BJ305" s="285"/>
      <c r="BK305" s="285"/>
      <c r="BL305" s="285"/>
      <c r="BM305" s="285"/>
      <c r="BN305" s="285"/>
      <c r="BO305" s="285"/>
      <c r="BP305" s="285"/>
      <c r="BQ305" s="285"/>
      <c r="BR305" s="285"/>
      <c r="BS305" s="285"/>
      <c r="BT305" s="285"/>
      <c r="BU305" s="285"/>
      <c r="BV305" s="285"/>
    </row>
    <row r="306" spans="2:74" ht="15.75" customHeight="1" x14ac:dyDescent="0.2">
      <c r="B306" s="19" t="s">
        <v>7</v>
      </c>
      <c r="C306" s="20" t="s">
        <v>625</v>
      </c>
      <c r="D306" s="20"/>
      <c r="E306" s="20"/>
      <c r="F306" s="20"/>
      <c r="G306" s="20"/>
      <c r="H306" s="20"/>
      <c r="I306" s="20"/>
      <c r="J306" s="192"/>
      <c r="K306" s="219"/>
      <c r="L306" s="408" t="s">
        <v>412</v>
      </c>
      <c r="M306" s="275"/>
      <c r="N306" s="275"/>
      <c r="O306" s="276"/>
      <c r="P306" s="276"/>
      <c r="Q306" s="434">
        <v>8538000000</v>
      </c>
      <c r="R306" s="282">
        <f>SUM(R307:R320)</f>
        <v>8538000000</v>
      </c>
      <c r="S306" s="281"/>
      <c r="T306" s="279"/>
      <c r="U306" s="280"/>
      <c r="V306" s="495">
        <f t="shared" ref="V306:AG306" si="214">SUM(V307:V320)</f>
        <v>0</v>
      </c>
      <c r="W306" s="495">
        <f t="shared" si="214"/>
        <v>49395000</v>
      </c>
      <c r="X306" s="496">
        <f t="shared" si="214"/>
        <v>49395000</v>
      </c>
      <c r="Y306" s="496">
        <f t="shared" si="214"/>
        <v>190118000</v>
      </c>
      <c r="Z306" s="496">
        <f t="shared" si="214"/>
        <v>636118000</v>
      </c>
      <c r="AA306" s="496">
        <f t="shared" si="214"/>
        <v>1468118000</v>
      </c>
      <c r="AB306" s="496">
        <f t="shared" si="214"/>
        <v>2882118000</v>
      </c>
      <c r="AC306" s="496">
        <f t="shared" si="214"/>
        <v>2812118000</v>
      </c>
      <c r="AD306" s="496">
        <f t="shared" si="214"/>
        <v>354118000</v>
      </c>
      <c r="AE306" s="496">
        <f t="shared" si="214"/>
        <v>54115000</v>
      </c>
      <c r="AF306" s="496">
        <f t="shared" si="214"/>
        <v>37451000</v>
      </c>
      <c r="AG306" s="496">
        <f t="shared" si="214"/>
        <v>4936000</v>
      </c>
      <c r="AH306" s="500">
        <f t="shared" si="173"/>
        <v>8538000000</v>
      </c>
      <c r="AI306" s="535"/>
      <c r="AJ306" s="535"/>
      <c r="AK306" s="536"/>
      <c r="AL306" s="536"/>
      <c r="AM306" s="536"/>
      <c r="AQ306" s="440"/>
      <c r="AR306" s="285"/>
      <c r="AS306" s="285"/>
      <c r="AT306" s="285"/>
      <c r="AU306" s="285"/>
      <c r="AV306" s="285"/>
      <c r="AW306" s="285"/>
      <c r="AX306" s="285"/>
      <c r="AY306" s="285"/>
      <c r="AZ306" s="285"/>
      <c r="BA306" s="285"/>
      <c r="BB306" s="285"/>
      <c r="BC306" s="285"/>
      <c r="BD306" s="285"/>
      <c r="BE306" s="285"/>
      <c r="BF306" s="285"/>
      <c r="BG306" s="285"/>
      <c r="BH306" s="285"/>
      <c r="BI306" s="285"/>
      <c r="BJ306" s="285"/>
      <c r="BK306" s="285"/>
      <c r="BL306" s="285"/>
      <c r="BM306" s="285"/>
      <c r="BN306" s="285"/>
      <c r="BO306" s="285"/>
      <c r="BP306" s="285"/>
      <c r="BQ306" s="285"/>
      <c r="BR306" s="285"/>
      <c r="BS306" s="285"/>
      <c r="BT306" s="285"/>
      <c r="BU306" s="285"/>
      <c r="BV306" s="285"/>
    </row>
    <row r="307" spans="2:74" ht="45" x14ac:dyDescent="0.2">
      <c r="B307" s="677"/>
      <c r="C307" s="678"/>
      <c r="D307" s="678"/>
      <c r="E307" s="678"/>
      <c r="F307" s="678"/>
      <c r="G307" s="678"/>
      <c r="H307" s="678"/>
      <c r="I307" s="678"/>
      <c r="J307" s="678"/>
      <c r="K307" s="450" t="s">
        <v>343</v>
      </c>
      <c r="L307" s="451" t="s">
        <v>541</v>
      </c>
      <c r="M307" s="134">
        <v>44102</v>
      </c>
      <c r="N307" s="157" t="s">
        <v>375</v>
      </c>
      <c r="O307" s="157" t="s">
        <v>326</v>
      </c>
      <c r="P307" s="157" t="s">
        <v>530</v>
      </c>
      <c r="Q307" s="434"/>
      <c r="R307" s="101">
        <v>4250000000</v>
      </c>
      <c r="S307" s="453" t="s">
        <v>350</v>
      </c>
      <c r="T307" s="101"/>
      <c r="U307" s="462" t="s">
        <v>359</v>
      </c>
      <c r="V307" s="497">
        <v>0</v>
      </c>
      <c r="W307" s="497">
        <v>0</v>
      </c>
      <c r="X307" s="498"/>
      <c r="Y307" s="498">
        <v>85000000</v>
      </c>
      <c r="Z307" s="498">
        <v>127500000</v>
      </c>
      <c r="AA307" s="498">
        <v>850000000</v>
      </c>
      <c r="AB307" s="498">
        <v>1700000000</v>
      </c>
      <c r="AC307" s="498">
        <v>1487500000</v>
      </c>
      <c r="AD307" s="498"/>
      <c r="AE307" s="498"/>
      <c r="AF307" s="498"/>
      <c r="AG307" s="498"/>
      <c r="AH307" s="501">
        <f t="shared" si="173"/>
        <v>4250000000</v>
      </c>
      <c r="AI307" s="635">
        <v>2921</v>
      </c>
      <c r="AJ307" s="538">
        <v>44211</v>
      </c>
      <c r="AK307" s="536">
        <v>4250000000</v>
      </c>
      <c r="AL307" s="536">
        <v>4250000000</v>
      </c>
      <c r="AM307" s="536">
        <v>4250000000</v>
      </c>
      <c r="AN307" s="532">
        <f t="shared" ref="AN307:AN317" si="215">+R307-AL307</f>
        <v>0</v>
      </c>
      <c r="AO307" s="532">
        <f t="shared" ref="AO307:AO313" si="216">+AL307-AM307</f>
        <v>0</v>
      </c>
      <c r="AP307" s="533">
        <f t="shared" ref="AP307:AP317" si="217">R307-AL307+AO307</f>
        <v>0</v>
      </c>
      <c r="AQ307" s="440"/>
      <c r="AR307" s="285"/>
      <c r="AS307" s="285"/>
      <c r="AT307" s="285"/>
      <c r="AU307" s="285"/>
      <c r="AV307" s="285"/>
      <c r="AW307" s="285"/>
      <c r="AX307" s="285"/>
      <c r="AY307" s="285"/>
      <c r="AZ307" s="285"/>
      <c r="BA307" s="285"/>
      <c r="BB307" s="285"/>
      <c r="BC307" s="285"/>
      <c r="BD307" s="285"/>
      <c r="BE307" s="285"/>
      <c r="BF307" s="285"/>
      <c r="BG307" s="285"/>
      <c r="BH307" s="285"/>
      <c r="BI307" s="285"/>
      <c r="BJ307" s="285"/>
      <c r="BK307" s="285"/>
      <c r="BL307" s="285"/>
      <c r="BM307" s="285"/>
      <c r="BN307" s="285"/>
      <c r="BO307" s="285"/>
      <c r="BP307" s="285"/>
      <c r="BQ307" s="285"/>
      <c r="BR307" s="285"/>
      <c r="BS307" s="285"/>
      <c r="BT307" s="285"/>
      <c r="BU307" s="285"/>
      <c r="BV307" s="285"/>
    </row>
    <row r="308" spans="2:74" ht="30" x14ac:dyDescent="0.2">
      <c r="B308" s="682"/>
      <c r="C308" s="683"/>
      <c r="D308" s="683"/>
      <c r="E308" s="683"/>
      <c r="F308" s="683"/>
      <c r="G308" s="683"/>
      <c r="H308" s="683"/>
      <c r="I308" s="683"/>
      <c r="J308" s="683"/>
      <c r="K308" s="447">
        <v>81101500</v>
      </c>
      <c r="L308" s="451" t="s">
        <v>344</v>
      </c>
      <c r="M308" s="134">
        <v>44102</v>
      </c>
      <c r="N308" s="157" t="s">
        <v>375</v>
      </c>
      <c r="O308" s="157" t="s">
        <v>326</v>
      </c>
      <c r="P308" s="157" t="s">
        <v>531</v>
      </c>
      <c r="Q308" s="434"/>
      <c r="R308" s="101">
        <v>212500000</v>
      </c>
      <c r="S308" s="453" t="s">
        <v>386</v>
      </c>
      <c r="T308" s="101"/>
      <c r="U308" s="462" t="s">
        <v>359</v>
      </c>
      <c r="V308" s="497"/>
      <c r="W308" s="497"/>
      <c r="X308" s="498"/>
      <c r="Y308" s="498">
        <v>4250000</v>
      </c>
      <c r="Z308" s="498">
        <v>6375000</v>
      </c>
      <c r="AA308" s="498">
        <v>42500000</v>
      </c>
      <c r="AB308" s="498">
        <v>85000000</v>
      </c>
      <c r="AC308" s="498">
        <v>74375000</v>
      </c>
      <c r="AD308" s="498"/>
      <c r="AE308" s="498"/>
      <c r="AF308" s="498"/>
      <c r="AG308" s="498"/>
      <c r="AH308" s="501">
        <f t="shared" si="173"/>
        <v>212500000</v>
      </c>
      <c r="AI308" s="535"/>
      <c r="AJ308" s="538">
        <v>44211</v>
      </c>
      <c r="AK308" s="536">
        <v>212500000</v>
      </c>
      <c r="AL308" s="536">
        <v>212500000</v>
      </c>
      <c r="AM308" s="536">
        <v>212500000</v>
      </c>
      <c r="AN308" s="532">
        <f t="shared" si="215"/>
        <v>0</v>
      </c>
      <c r="AO308" s="532">
        <f t="shared" si="216"/>
        <v>0</v>
      </c>
      <c r="AP308" s="533">
        <f t="shared" si="217"/>
        <v>0</v>
      </c>
      <c r="AQ308" s="440"/>
      <c r="AR308" s="285"/>
      <c r="AS308" s="285"/>
      <c r="AT308" s="285"/>
      <c r="AU308" s="285"/>
      <c r="AV308" s="285"/>
      <c r="AW308" s="285"/>
      <c r="AX308" s="285"/>
      <c r="AY308" s="285"/>
      <c r="AZ308" s="285"/>
      <c r="BA308" s="285"/>
      <c r="BB308" s="285"/>
      <c r="BC308" s="285"/>
      <c r="BD308" s="285"/>
      <c r="BE308" s="285"/>
      <c r="BF308" s="285"/>
      <c r="BG308" s="285"/>
      <c r="BH308" s="285"/>
      <c r="BI308" s="285"/>
      <c r="BJ308" s="285"/>
      <c r="BK308" s="285"/>
      <c r="BL308" s="285"/>
      <c r="BM308" s="285"/>
      <c r="BN308" s="285"/>
      <c r="BO308" s="285"/>
      <c r="BP308" s="285"/>
      <c r="BQ308" s="285"/>
      <c r="BR308" s="285"/>
      <c r="BS308" s="285"/>
      <c r="BT308" s="285"/>
      <c r="BU308" s="285"/>
      <c r="BV308" s="285"/>
    </row>
    <row r="309" spans="2:74" ht="30" x14ac:dyDescent="0.2">
      <c r="B309" s="682"/>
      <c r="C309" s="683"/>
      <c r="D309" s="683"/>
      <c r="E309" s="683"/>
      <c r="F309" s="683"/>
      <c r="G309" s="683"/>
      <c r="H309" s="683"/>
      <c r="I309" s="683"/>
      <c r="J309" s="683"/>
      <c r="K309" s="513" t="s">
        <v>343</v>
      </c>
      <c r="L309" s="451" t="s">
        <v>542</v>
      </c>
      <c r="M309" s="134">
        <v>44102</v>
      </c>
      <c r="N309" s="157" t="s">
        <v>375</v>
      </c>
      <c r="O309" s="157" t="s">
        <v>326</v>
      </c>
      <c r="P309" s="157" t="s">
        <v>530</v>
      </c>
      <c r="Q309" s="434"/>
      <c r="R309" s="101">
        <v>2125000000</v>
      </c>
      <c r="S309" s="453" t="s">
        <v>350</v>
      </c>
      <c r="T309" s="101"/>
      <c r="U309" s="462" t="s">
        <v>359</v>
      </c>
      <c r="V309" s="497"/>
      <c r="W309" s="497"/>
      <c r="X309" s="498"/>
      <c r="Y309" s="498">
        <v>42500000</v>
      </c>
      <c r="Z309" s="498">
        <v>63750000</v>
      </c>
      <c r="AA309" s="498">
        <v>425000000</v>
      </c>
      <c r="AB309" s="498">
        <v>850000000</v>
      </c>
      <c r="AC309" s="498">
        <v>743750000</v>
      </c>
      <c r="AD309" s="498"/>
      <c r="AE309" s="498"/>
      <c r="AF309" s="498"/>
      <c r="AG309" s="498"/>
      <c r="AH309" s="501">
        <f t="shared" si="173"/>
        <v>2125000000</v>
      </c>
      <c r="AI309" s="635">
        <v>2821</v>
      </c>
      <c r="AJ309" s="538">
        <v>44211</v>
      </c>
      <c r="AK309" s="536">
        <v>2125000000</v>
      </c>
      <c r="AL309" s="536">
        <v>2125000000</v>
      </c>
      <c r="AM309" s="536">
        <v>2125000000</v>
      </c>
      <c r="AN309" s="532">
        <f t="shared" si="215"/>
        <v>0</v>
      </c>
      <c r="AO309" s="532">
        <f t="shared" si="216"/>
        <v>0</v>
      </c>
      <c r="AP309" s="533">
        <f t="shared" si="217"/>
        <v>0</v>
      </c>
      <c r="AQ309" s="440"/>
      <c r="AR309" s="285"/>
      <c r="AS309" s="285"/>
      <c r="AT309" s="285"/>
      <c r="AU309" s="285"/>
      <c r="AV309" s="285"/>
      <c r="AW309" s="285"/>
      <c r="AX309" s="285"/>
      <c r="AY309" s="285"/>
      <c r="AZ309" s="285"/>
      <c r="BA309" s="285"/>
      <c r="BB309" s="285"/>
      <c r="BC309" s="285"/>
      <c r="BD309" s="285"/>
      <c r="BE309" s="285"/>
      <c r="BF309" s="285"/>
      <c r="BG309" s="285"/>
      <c r="BH309" s="285"/>
      <c r="BI309" s="285"/>
      <c r="BJ309" s="285"/>
      <c r="BK309" s="285"/>
      <c r="BL309" s="285"/>
      <c r="BM309" s="285"/>
      <c r="BN309" s="285"/>
      <c r="BO309" s="285"/>
      <c r="BP309" s="285"/>
      <c r="BQ309" s="285"/>
      <c r="BR309" s="285"/>
      <c r="BS309" s="285"/>
      <c r="BT309" s="285"/>
      <c r="BU309" s="285"/>
      <c r="BV309" s="285"/>
    </row>
    <row r="310" spans="2:74" ht="30" x14ac:dyDescent="0.2">
      <c r="B310" s="682"/>
      <c r="C310" s="683"/>
      <c r="D310" s="683"/>
      <c r="E310" s="683"/>
      <c r="F310" s="683"/>
      <c r="G310" s="683"/>
      <c r="H310" s="683"/>
      <c r="I310" s="683"/>
      <c r="J310" s="683"/>
      <c r="K310" s="450">
        <v>81101500</v>
      </c>
      <c r="L310" s="451" t="s">
        <v>345</v>
      </c>
      <c r="M310" s="134">
        <v>44102</v>
      </c>
      <c r="N310" s="157" t="s">
        <v>375</v>
      </c>
      <c r="O310" s="157" t="s">
        <v>326</v>
      </c>
      <c r="P310" s="157" t="s">
        <v>531</v>
      </c>
      <c r="Q310" s="434"/>
      <c r="R310" s="101">
        <f>212500000+19671443</f>
        <v>232171443</v>
      </c>
      <c r="S310" s="453" t="s">
        <v>350</v>
      </c>
      <c r="T310" s="101"/>
      <c r="U310" s="462" t="s">
        <v>359</v>
      </c>
      <c r="V310" s="497"/>
      <c r="W310" s="497"/>
      <c r="X310" s="498"/>
      <c r="Y310" s="498">
        <v>4250000</v>
      </c>
      <c r="Z310" s="498">
        <v>6375000</v>
      </c>
      <c r="AA310" s="498">
        <v>42500000</v>
      </c>
      <c r="AB310" s="498">
        <v>85000000</v>
      </c>
      <c r="AC310" s="498">
        <v>74375000</v>
      </c>
      <c r="AD310" s="498"/>
      <c r="AE310" s="498"/>
      <c r="AF310" s="498"/>
      <c r="AG310" s="498"/>
      <c r="AH310" s="501">
        <f t="shared" si="173"/>
        <v>212500000</v>
      </c>
      <c r="AI310" s="535">
        <v>2621</v>
      </c>
      <c r="AJ310" s="538">
        <v>44211</v>
      </c>
      <c r="AK310" s="536">
        <v>212500000</v>
      </c>
      <c r="AL310" s="536">
        <v>232171443</v>
      </c>
      <c r="AM310" s="536">
        <v>232171443</v>
      </c>
      <c r="AN310" s="532">
        <f t="shared" si="215"/>
        <v>0</v>
      </c>
      <c r="AO310" s="532">
        <f t="shared" si="216"/>
        <v>0</v>
      </c>
      <c r="AP310" s="533">
        <f t="shared" si="217"/>
        <v>0</v>
      </c>
      <c r="AQ310" s="440"/>
      <c r="AR310" s="285"/>
      <c r="AS310" s="285"/>
      <c r="AT310" s="285"/>
      <c r="AU310" s="285"/>
      <c r="AV310" s="285"/>
      <c r="AW310" s="285"/>
      <c r="AX310" s="285"/>
      <c r="AY310" s="285"/>
      <c r="AZ310" s="285"/>
      <c r="BA310" s="285"/>
      <c r="BB310" s="285"/>
      <c r="BC310" s="285"/>
      <c r="BD310" s="285"/>
      <c r="BE310" s="285"/>
      <c r="BF310" s="285"/>
      <c r="BG310" s="285"/>
      <c r="BH310" s="285"/>
      <c r="BI310" s="285"/>
      <c r="BJ310" s="285"/>
      <c r="BK310" s="285"/>
      <c r="BL310" s="285"/>
      <c r="BM310" s="285"/>
      <c r="BN310" s="285"/>
      <c r="BO310" s="285"/>
      <c r="BP310" s="285"/>
      <c r="BQ310" s="285"/>
      <c r="BR310" s="285"/>
      <c r="BS310" s="285"/>
      <c r="BT310" s="285"/>
      <c r="BU310" s="285"/>
      <c r="BV310" s="285"/>
    </row>
    <row r="311" spans="2:74" ht="30" customHeight="1" x14ac:dyDescent="0.2">
      <c r="B311" s="682"/>
      <c r="C311" s="683"/>
      <c r="D311" s="683"/>
      <c r="E311" s="683"/>
      <c r="F311" s="683"/>
      <c r="G311" s="683"/>
      <c r="H311" s="683"/>
      <c r="I311" s="683"/>
      <c r="J311" s="683"/>
      <c r="K311" s="513" t="s">
        <v>343</v>
      </c>
      <c r="L311" s="451" t="s">
        <v>588</v>
      </c>
      <c r="M311" s="134">
        <v>44258</v>
      </c>
      <c r="N311" s="134" t="s">
        <v>543</v>
      </c>
      <c r="O311" s="157" t="s">
        <v>544</v>
      </c>
      <c r="P311" s="157" t="s">
        <v>530</v>
      </c>
      <c r="Q311" s="434"/>
      <c r="R311" s="101">
        <f>360000000-19671443</f>
        <v>340328557</v>
      </c>
      <c r="S311" s="453" t="s">
        <v>350</v>
      </c>
      <c r="T311" s="101"/>
      <c r="U311" s="462" t="s">
        <v>359</v>
      </c>
      <c r="V311" s="497"/>
      <c r="W311" s="497"/>
      <c r="X311" s="498"/>
      <c r="Y311" s="498"/>
      <c r="Z311" s="498"/>
      <c r="AA311" s="498">
        <v>45500000</v>
      </c>
      <c r="AB311" s="498">
        <v>91000000</v>
      </c>
      <c r="AC311" s="498">
        <v>318500000</v>
      </c>
      <c r="AD311" s="498"/>
      <c r="AE311" s="498"/>
      <c r="AF311" s="498"/>
      <c r="AG311" s="498"/>
      <c r="AH311" s="501">
        <f t="shared" si="173"/>
        <v>455000000</v>
      </c>
      <c r="AI311" s="635">
        <v>13821</v>
      </c>
      <c r="AJ311" s="538">
        <v>44232</v>
      </c>
      <c r="AK311" s="536">
        <v>307500000</v>
      </c>
      <c r="AL311" s="536">
        <v>276223080</v>
      </c>
      <c r="AM311" s="536">
        <v>276223080</v>
      </c>
      <c r="AN311" s="532">
        <f t="shared" si="215"/>
        <v>64105477</v>
      </c>
      <c r="AO311" s="532">
        <f t="shared" si="216"/>
        <v>0</v>
      </c>
      <c r="AP311" s="533">
        <f t="shared" si="217"/>
        <v>64105477</v>
      </c>
      <c r="AQ311" s="440"/>
      <c r="AR311" s="285"/>
      <c r="AS311" s="285"/>
      <c r="AT311" s="285"/>
      <c r="AU311" s="285"/>
      <c r="AV311" s="285"/>
      <c r="AW311" s="285"/>
      <c r="AX311" s="285"/>
      <c r="AY311" s="285"/>
      <c r="AZ311" s="285"/>
      <c r="BA311" s="285"/>
      <c r="BB311" s="285"/>
      <c r="BC311" s="285"/>
      <c r="BD311" s="285"/>
      <c r="BE311" s="285"/>
      <c r="BF311" s="285"/>
      <c r="BG311" s="285"/>
      <c r="BH311" s="285"/>
      <c r="BI311" s="285"/>
      <c r="BJ311" s="285"/>
      <c r="BK311" s="285"/>
      <c r="BL311" s="285"/>
      <c r="BM311" s="285"/>
      <c r="BN311" s="285"/>
      <c r="BO311" s="285"/>
      <c r="BP311" s="285"/>
      <c r="BQ311" s="285"/>
      <c r="BR311" s="285"/>
      <c r="BS311" s="285"/>
      <c r="BT311" s="285"/>
      <c r="BU311" s="285"/>
      <c r="BV311" s="285"/>
    </row>
    <row r="312" spans="2:74" ht="30" x14ac:dyDescent="0.2">
      <c r="B312" s="682"/>
      <c r="C312" s="683"/>
      <c r="D312" s="683"/>
      <c r="E312" s="683"/>
      <c r="F312" s="683"/>
      <c r="G312" s="683"/>
      <c r="H312" s="683"/>
      <c r="I312" s="683"/>
      <c r="J312" s="683"/>
      <c r="K312" s="450">
        <v>81101500</v>
      </c>
      <c r="L312" s="451" t="s">
        <v>589</v>
      </c>
      <c r="M312" s="134">
        <v>44258</v>
      </c>
      <c r="N312" s="134" t="s">
        <v>543</v>
      </c>
      <c r="O312" s="157" t="s">
        <v>544</v>
      </c>
      <c r="P312" s="157" t="s">
        <v>593</v>
      </c>
      <c r="Q312" s="434"/>
      <c r="R312" s="101">
        <v>61000000</v>
      </c>
      <c r="S312" s="453" t="s">
        <v>350</v>
      </c>
      <c r="T312" s="101"/>
      <c r="U312" s="462" t="s">
        <v>359</v>
      </c>
      <c r="V312" s="497"/>
      <c r="W312" s="497"/>
      <c r="X312" s="498"/>
      <c r="Y312" s="498"/>
      <c r="Z312" s="498"/>
      <c r="AA312" s="498">
        <v>8500000</v>
      </c>
      <c r="AB312" s="498">
        <v>17000000</v>
      </c>
      <c r="AC312" s="498">
        <v>59500000</v>
      </c>
      <c r="AD312" s="498"/>
      <c r="AE312" s="498"/>
      <c r="AF312" s="498"/>
      <c r="AG312" s="498"/>
      <c r="AH312" s="501">
        <f t="shared" ref="AH312:AH320" si="218">SUM(V312:AG312)</f>
        <v>85000000</v>
      </c>
      <c r="AI312" s="635">
        <v>30021</v>
      </c>
      <c r="AJ312" s="632" t="s">
        <v>607</v>
      </c>
      <c r="AK312" s="536">
        <v>101000000</v>
      </c>
      <c r="AL312" s="536">
        <f>53704000+6561730</f>
        <v>60265730</v>
      </c>
      <c r="AM312" s="536">
        <v>53704000</v>
      </c>
      <c r="AN312" s="532">
        <f t="shared" si="215"/>
        <v>734270</v>
      </c>
      <c r="AO312" s="532">
        <f t="shared" si="216"/>
        <v>6561730</v>
      </c>
      <c r="AP312" s="533">
        <f t="shared" si="217"/>
        <v>7296000</v>
      </c>
      <c r="AQ312" s="440"/>
      <c r="AR312" s="285"/>
      <c r="AS312" s="285"/>
      <c r="AT312" s="285"/>
      <c r="AU312" s="285"/>
      <c r="AV312" s="285"/>
      <c r="AW312" s="285"/>
      <c r="AX312" s="285"/>
      <c r="AY312" s="285"/>
      <c r="AZ312" s="285"/>
      <c r="BA312" s="285"/>
      <c r="BB312" s="285"/>
      <c r="BC312" s="285"/>
      <c r="BD312" s="285"/>
      <c r="BE312" s="285"/>
      <c r="BF312" s="285"/>
      <c r="BG312" s="285"/>
      <c r="BH312" s="285"/>
      <c r="BI312" s="285"/>
      <c r="BJ312" s="285"/>
      <c r="BK312" s="285"/>
      <c r="BL312" s="285"/>
      <c r="BM312" s="285"/>
      <c r="BN312" s="285"/>
      <c r="BO312" s="285"/>
      <c r="BP312" s="285"/>
      <c r="BQ312" s="285"/>
      <c r="BR312" s="285"/>
      <c r="BS312" s="285"/>
      <c r="BT312" s="285"/>
      <c r="BU312" s="285"/>
      <c r="BV312" s="285"/>
    </row>
    <row r="313" spans="2:74" s="440" customFormat="1" ht="30" x14ac:dyDescent="0.2">
      <c r="B313" s="682"/>
      <c r="C313" s="683"/>
      <c r="D313" s="683"/>
      <c r="E313" s="683"/>
      <c r="F313" s="683"/>
      <c r="G313" s="683"/>
      <c r="H313" s="683"/>
      <c r="I313" s="683"/>
      <c r="J313" s="683"/>
      <c r="K313" s="450"/>
      <c r="L313" s="451" t="s">
        <v>590</v>
      </c>
      <c r="M313" s="134">
        <v>44235</v>
      </c>
      <c r="N313" s="134" t="s">
        <v>529</v>
      </c>
      <c r="O313" s="157" t="s">
        <v>337</v>
      </c>
      <c r="P313" s="157" t="s">
        <v>595</v>
      </c>
      <c r="Q313" s="434"/>
      <c r="R313" s="101">
        <v>254000000</v>
      </c>
      <c r="S313" s="453"/>
      <c r="T313" s="101"/>
      <c r="U313" s="462"/>
      <c r="V313" s="497"/>
      <c r="W313" s="497"/>
      <c r="X313" s="498"/>
      <c r="Y313" s="498"/>
      <c r="Z313" s="498"/>
      <c r="AA313" s="498"/>
      <c r="AB313" s="498"/>
      <c r="AC313" s="498"/>
      <c r="AD313" s="498"/>
      <c r="AE313" s="498"/>
      <c r="AF313" s="498"/>
      <c r="AG313" s="498"/>
      <c r="AH313" s="501"/>
      <c r="AI313" s="635">
        <v>14021</v>
      </c>
      <c r="AJ313" s="538">
        <v>44236</v>
      </c>
      <c r="AK313" s="536">
        <v>367500000</v>
      </c>
      <c r="AL313" s="536">
        <v>249883634</v>
      </c>
      <c r="AM313" s="536">
        <v>249883634</v>
      </c>
      <c r="AN313" s="532">
        <f t="shared" si="215"/>
        <v>4116366</v>
      </c>
      <c r="AO313" s="532">
        <f t="shared" si="216"/>
        <v>0</v>
      </c>
      <c r="AP313" s="533">
        <f t="shared" si="217"/>
        <v>4116366</v>
      </c>
      <c r="AR313" s="285"/>
      <c r="AS313" s="285"/>
      <c r="AT313" s="285"/>
      <c r="AU313" s="285"/>
      <c r="AV313" s="285"/>
      <c r="AW313" s="285"/>
      <c r="AX313" s="285"/>
      <c r="AY313" s="285"/>
      <c r="AZ313" s="285"/>
      <c r="BA313" s="285"/>
      <c r="BB313" s="285"/>
      <c r="BC313" s="285"/>
      <c r="BD313" s="285"/>
      <c r="BE313" s="285"/>
      <c r="BF313" s="285"/>
      <c r="BG313" s="285"/>
      <c r="BH313" s="285"/>
      <c r="BI313" s="285"/>
      <c r="BJ313" s="285"/>
      <c r="BK313" s="285"/>
      <c r="BL313" s="285"/>
      <c r="BM313" s="285"/>
      <c r="BN313" s="285"/>
      <c r="BO313" s="285"/>
      <c r="BP313" s="285"/>
      <c r="BQ313" s="285"/>
      <c r="BR313" s="285"/>
      <c r="BS313" s="285"/>
      <c r="BT313" s="285"/>
      <c r="BU313" s="285"/>
      <c r="BV313" s="285"/>
    </row>
    <row r="314" spans="2:74" ht="99.75" customHeight="1" x14ac:dyDescent="0.2">
      <c r="B314" s="682"/>
      <c r="C314" s="683"/>
      <c r="D314" s="683"/>
      <c r="E314" s="683"/>
      <c r="F314" s="683"/>
      <c r="G314" s="683"/>
      <c r="H314" s="683"/>
      <c r="I314" s="683"/>
      <c r="J314" s="683"/>
      <c r="K314" s="450" t="s">
        <v>315</v>
      </c>
      <c r="L314" s="451" t="s">
        <v>621</v>
      </c>
      <c r="M314" s="134">
        <v>44229</v>
      </c>
      <c r="N314" s="134" t="s">
        <v>529</v>
      </c>
      <c r="O314" s="157" t="s">
        <v>299</v>
      </c>
      <c r="P314" s="157" t="s">
        <v>530</v>
      </c>
      <c r="Q314" s="434"/>
      <c r="R314" s="101">
        <v>678000000</v>
      </c>
      <c r="S314" s="453" t="s">
        <v>350</v>
      </c>
      <c r="T314" s="101"/>
      <c r="U314" s="462" t="s">
        <v>221</v>
      </c>
      <c r="V314" s="497"/>
      <c r="W314" s="497"/>
      <c r="X314" s="498"/>
      <c r="Y314" s="498"/>
      <c r="Z314" s="498">
        <v>378000000</v>
      </c>
      <c r="AA314" s="498"/>
      <c r="AB314" s="498"/>
      <c r="AC314" s="498"/>
      <c r="AD314" s="498">
        <v>300000000</v>
      </c>
      <c r="AE314" s="498"/>
      <c r="AF314" s="498"/>
      <c r="AG314" s="498"/>
      <c r="AH314" s="501">
        <f t="shared" si="218"/>
        <v>678000000</v>
      </c>
      <c r="AI314" s="635">
        <v>15121</v>
      </c>
      <c r="AJ314" s="538">
        <v>44238</v>
      </c>
      <c r="AK314" s="536">
        <v>678000000</v>
      </c>
      <c r="AL314" s="536">
        <v>678000000</v>
      </c>
      <c r="AM314" s="536">
        <v>678000000</v>
      </c>
      <c r="AN314" s="532">
        <f t="shared" si="215"/>
        <v>0</v>
      </c>
      <c r="AO314" s="532">
        <f t="shared" ref="AO314:AO316" si="219">+AL314-AM314</f>
        <v>0</v>
      </c>
      <c r="AP314" s="533">
        <f t="shared" si="217"/>
        <v>0</v>
      </c>
      <c r="AQ314" s="440"/>
      <c r="AR314" s="285"/>
      <c r="AS314" s="285"/>
      <c r="AT314" s="285"/>
      <c r="AU314" s="285"/>
      <c r="AV314" s="285"/>
      <c r="AW314" s="285"/>
      <c r="AX314" s="285"/>
      <c r="AY314" s="285"/>
      <c r="AZ314" s="285"/>
      <c r="BA314" s="285"/>
      <c r="BB314" s="285"/>
      <c r="BC314" s="285"/>
      <c r="BD314" s="285"/>
      <c r="BE314" s="285"/>
      <c r="BF314" s="285"/>
      <c r="BG314" s="285"/>
      <c r="BH314" s="285"/>
      <c r="BI314" s="285"/>
      <c r="BJ314" s="285"/>
      <c r="BK314" s="285"/>
      <c r="BL314" s="285"/>
      <c r="BM314" s="285"/>
      <c r="BN314" s="285"/>
      <c r="BO314" s="285"/>
      <c r="BP314" s="285"/>
      <c r="BQ314" s="285"/>
      <c r="BR314" s="285"/>
      <c r="BS314" s="285"/>
      <c r="BT314" s="285"/>
      <c r="BU314" s="285"/>
      <c r="BV314" s="285"/>
    </row>
    <row r="315" spans="2:74" x14ac:dyDescent="0.2">
      <c r="B315" s="682"/>
      <c r="C315" s="683"/>
      <c r="D315" s="683"/>
      <c r="E315" s="683"/>
      <c r="F315" s="683"/>
      <c r="G315" s="683"/>
      <c r="H315" s="683"/>
      <c r="I315" s="683"/>
      <c r="J315" s="683"/>
      <c r="K315" s="450"/>
      <c r="L315" s="451" t="s">
        <v>545</v>
      </c>
      <c r="M315" s="134">
        <v>44229</v>
      </c>
      <c r="N315" s="134" t="s">
        <v>529</v>
      </c>
      <c r="O315" s="157" t="s">
        <v>299</v>
      </c>
      <c r="P315" s="157" t="s">
        <v>581</v>
      </c>
      <c r="Q315" s="434"/>
      <c r="R315" s="101">
        <v>145000000</v>
      </c>
      <c r="S315" s="453" t="s">
        <v>350</v>
      </c>
      <c r="T315" s="101"/>
      <c r="U315" s="462" t="s">
        <v>271</v>
      </c>
      <c r="V315" s="497"/>
      <c r="W315" s="497">
        <v>30000000</v>
      </c>
      <c r="X315" s="497">
        <v>30000000</v>
      </c>
      <c r="Y315" s="497">
        <v>30000000</v>
      </c>
      <c r="Z315" s="497">
        <v>30000000</v>
      </c>
      <c r="AA315" s="497">
        <v>30000000</v>
      </c>
      <c r="AB315" s="497">
        <v>30000000</v>
      </c>
      <c r="AC315" s="497">
        <v>30000000</v>
      </c>
      <c r="AD315" s="497">
        <v>30000000</v>
      </c>
      <c r="AE315" s="497">
        <v>30000000</v>
      </c>
      <c r="AF315" s="497">
        <v>30000000</v>
      </c>
      <c r="AG315" s="498"/>
      <c r="AH315" s="501">
        <f t="shared" si="218"/>
        <v>300000000</v>
      </c>
      <c r="AI315" s="635" t="s">
        <v>608</v>
      </c>
      <c r="AJ315" s="535" t="s">
        <v>430</v>
      </c>
      <c r="AK315" s="536">
        <v>98515822</v>
      </c>
      <c r="AL315" s="536">
        <v>98515822</v>
      </c>
      <c r="AM315" s="536">
        <v>98515822</v>
      </c>
      <c r="AN315" s="532">
        <f t="shared" si="215"/>
        <v>46484178</v>
      </c>
      <c r="AO315" s="532">
        <f t="shared" si="219"/>
        <v>0</v>
      </c>
      <c r="AP315" s="533">
        <f t="shared" si="217"/>
        <v>46484178</v>
      </c>
      <c r="AQ315" s="440"/>
      <c r="AR315" s="285"/>
      <c r="AS315" s="285"/>
      <c r="AT315" s="285"/>
      <c r="AU315" s="285"/>
      <c r="AV315" s="285"/>
      <c r="AW315" s="285"/>
      <c r="AX315" s="285"/>
      <c r="AY315" s="285"/>
      <c r="AZ315" s="285"/>
      <c r="BA315" s="285"/>
      <c r="BB315" s="285"/>
      <c r="BC315" s="285"/>
      <c r="BD315" s="285"/>
      <c r="BE315" s="285"/>
      <c r="BF315" s="285"/>
      <c r="BG315" s="285"/>
      <c r="BH315" s="285"/>
      <c r="BI315" s="285"/>
      <c r="BJ315" s="285"/>
      <c r="BK315" s="285"/>
      <c r="BL315" s="285"/>
      <c r="BM315" s="285"/>
      <c r="BN315" s="285"/>
      <c r="BO315" s="285"/>
      <c r="BP315" s="285"/>
      <c r="BQ315" s="285"/>
      <c r="BR315" s="285"/>
      <c r="BS315" s="285"/>
      <c r="BT315" s="285"/>
      <c r="BU315" s="285"/>
      <c r="BV315" s="285"/>
    </row>
    <row r="316" spans="2:74" ht="30" customHeight="1" x14ac:dyDescent="0.2">
      <c r="B316" s="682"/>
      <c r="C316" s="683"/>
      <c r="D316" s="683"/>
      <c r="E316" s="683"/>
      <c r="F316" s="683"/>
      <c r="G316" s="683"/>
      <c r="H316" s="683"/>
      <c r="I316" s="683"/>
      <c r="J316" s="683"/>
      <c r="K316" s="447">
        <v>81101500</v>
      </c>
      <c r="L316" s="451" t="s">
        <v>349</v>
      </c>
      <c r="M316" s="134">
        <v>44206</v>
      </c>
      <c r="N316" s="134" t="s">
        <v>536</v>
      </c>
      <c r="O316" s="157" t="s">
        <v>362</v>
      </c>
      <c r="P316" s="157" t="s">
        <v>582</v>
      </c>
      <c r="Q316" s="434"/>
      <c r="R316" s="101">
        <v>150000000</v>
      </c>
      <c r="S316" s="453" t="s">
        <v>350</v>
      </c>
      <c r="T316" s="101"/>
      <c r="U316" s="462" t="s">
        <v>359</v>
      </c>
      <c r="V316" s="497"/>
      <c r="W316" s="497">
        <v>16667000</v>
      </c>
      <c r="X316" s="497">
        <v>16667000</v>
      </c>
      <c r="Y316" s="497">
        <v>16667000</v>
      </c>
      <c r="Z316" s="497">
        <v>16667000</v>
      </c>
      <c r="AA316" s="497">
        <v>16667000</v>
      </c>
      <c r="AB316" s="497">
        <v>16667000</v>
      </c>
      <c r="AC316" s="497">
        <v>16667000</v>
      </c>
      <c r="AD316" s="497">
        <v>16667000</v>
      </c>
      <c r="AE316" s="497">
        <v>16664000</v>
      </c>
      <c r="AF316" s="498"/>
      <c r="AG316" s="498"/>
      <c r="AH316" s="501">
        <f t="shared" si="218"/>
        <v>150000000</v>
      </c>
      <c r="AI316" s="635" t="s">
        <v>680</v>
      </c>
      <c r="AJ316" s="535"/>
      <c r="AK316" s="536">
        <f>34400000*3+9900000</f>
        <v>113100000</v>
      </c>
      <c r="AL316" s="536">
        <f>98900000+9900000</f>
        <v>108800000</v>
      </c>
      <c r="AM316" s="536">
        <f>98900000+9900000</f>
        <v>108800000</v>
      </c>
      <c r="AN316" s="532">
        <f t="shared" si="215"/>
        <v>41200000</v>
      </c>
      <c r="AO316" s="532">
        <f t="shared" si="219"/>
        <v>0</v>
      </c>
      <c r="AP316" s="533">
        <f t="shared" si="217"/>
        <v>41200000</v>
      </c>
      <c r="AQ316" s="440"/>
      <c r="AR316" s="285"/>
      <c r="AS316" s="285"/>
      <c r="AT316" s="285"/>
      <c r="AU316" s="285"/>
      <c r="AV316" s="285"/>
      <c r="AW316" s="285"/>
      <c r="AX316" s="285"/>
      <c r="AY316" s="285"/>
      <c r="AZ316" s="285"/>
      <c r="BA316" s="285"/>
      <c r="BB316" s="285"/>
      <c r="BC316" s="285"/>
      <c r="BD316" s="285"/>
      <c r="BE316" s="285"/>
      <c r="BF316" s="285"/>
      <c r="BG316" s="285"/>
      <c r="BH316" s="285"/>
      <c r="BI316" s="285"/>
      <c r="BJ316" s="285"/>
      <c r="BK316" s="285"/>
      <c r="BL316" s="285"/>
      <c r="BM316" s="285"/>
      <c r="BN316" s="285"/>
      <c r="BO316" s="285"/>
      <c r="BP316" s="285"/>
      <c r="BQ316" s="285"/>
      <c r="BR316" s="285"/>
      <c r="BS316" s="285"/>
      <c r="BT316" s="285"/>
      <c r="BU316" s="285"/>
      <c r="BV316" s="285"/>
    </row>
    <row r="317" spans="2:74" ht="26.25" customHeight="1" x14ac:dyDescent="0.2">
      <c r="B317" s="682"/>
      <c r="C317" s="683"/>
      <c r="D317" s="683"/>
      <c r="E317" s="683"/>
      <c r="F317" s="683"/>
      <c r="G317" s="683"/>
      <c r="H317" s="683"/>
      <c r="I317" s="683"/>
      <c r="J317" s="683"/>
      <c r="K317" s="450">
        <v>90121600</v>
      </c>
      <c r="L317" s="451" t="s">
        <v>538</v>
      </c>
      <c r="M317" s="134">
        <v>44229</v>
      </c>
      <c r="N317" s="134" t="s">
        <v>539</v>
      </c>
      <c r="O317" s="157" t="s">
        <v>324</v>
      </c>
      <c r="P317" s="157" t="s">
        <v>375</v>
      </c>
      <c r="Q317" s="434"/>
      <c r="R317" s="101">
        <v>30000000</v>
      </c>
      <c r="S317" s="453" t="s">
        <v>350</v>
      </c>
      <c r="T317" s="101"/>
      <c r="U317" s="462" t="s">
        <v>270</v>
      </c>
      <c r="V317" s="497"/>
      <c r="W317" s="497"/>
      <c r="X317" s="498"/>
      <c r="Y317" s="498">
        <v>2223000</v>
      </c>
      <c r="Z317" s="498">
        <v>2223000</v>
      </c>
      <c r="AA317" s="498">
        <v>2223000</v>
      </c>
      <c r="AB317" s="498">
        <v>2223000</v>
      </c>
      <c r="AC317" s="498">
        <v>2223000</v>
      </c>
      <c r="AD317" s="498">
        <v>2223000</v>
      </c>
      <c r="AE317" s="498">
        <v>2223000</v>
      </c>
      <c r="AF317" s="498">
        <v>2223000</v>
      </c>
      <c r="AG317" s="498">
        <v>2216000</v>
      </c>
      <c r="AH317" s="501">
        <f t="shared" si="218"/>
        <v>20000000</v>
      </c>
      <c r="AI317" s="635">
        <v>9121</v>
      </c>
      <c r="AJ317" s="538">
        <v>44222</v>
      </c>
      <c r="AK317" s="536">
        <v>20000000</v>
      </c>
      <c r="AL317" s="536">
        <v>20000000</v>
      </c>
      <c r="AM317" s="536">
        <v>20000000</v>
      </c>
      <c r="AN317" s="532">
        <f t="shared" si="215"/>
        <v>10000000</v>
      </c>
      <c r="AO317" s="532">
        <f>+AL317-AM317</f>
        <v>0</v>
      </c>
      <c r="AP317" s="533">
        <f t="shared" si="217"/>
        <v>10000000</v>
      </c>
      <c r="AQ317" s="440"/>
      <c r="AR317" s="285"/>
      <c r="AS317" s="285"/>
      <c r="AT317" s="285"/>
      <c r="AU317" s="285"/>
      <c r="AV317" s="285"/>
      <c r="AW317" s="285"/>
      <c r="AX317" s="285"/>
      <c r="AY317" s="285"/>
      <c r="AZ317" s="285"/>
      <c r="BA317" s="285"/>
      <c r="BB317" s="285"/>
      <c r="BC317" s="285"/>
      <c r="BD317" s="285"/>
      <c r="BE317" s="285"/>
      <c r="BF317" s="285"/>
      <c r="BG317" s="285"/>
      <c r="BH317" s="285"/>
      <c r="BI317" s="285"/>
      <c r="BJ317" s="285"/>
      <c r="BK317" s="285"/>
      <c r="BL317" s="285"/>
      <c r="BM317" s="285"/>
      <c r="BN317" s="285"/>
      <c r="BO317" s="285"/>
      <c r="BP317" s="285"/>
      <c r="BQ317" s="285"/>
      <c r="BR317" s="285"/>
      <c r="BS317" s="285"/>
      <c r="BT317" s="285"/>
      <c r="BU317" s="285"/>
      <c r="BV317" s="285"/>
    </row>
    <row r="318" spans="2:74" ht="30" x14ac:dyDescent="0.2">
      <c r="B318" s="682"/>
      <c r="C318" s="683"/>
      <c r="D318" s="683"/>
      <c r="E318" s="683"/>
      <c r="F318" s="683"/>
      <c r="G318" s="683"/>
      <c r="H318" s="683"/>
      <c r="I318" s="683"/>
      <c r="J318" s="683"/>
      <c r="K318" s="447">
        <v>90111500</v>
      </c>
      <c r="L318" s="451" t="s">
        <v>352</v>
      </c>
      <c r="M318" s="134">
        <v>44206</v>
      </c>
      <c r="N318" s="134" t="s">
        <v>540</v>
      </c>
      <c r="O318" s="157" t="s">
        <v>324</v>
      </c>
      <c r="P318" s="157" t="s">
        <v>375</v>
      </c>
      <c r="Q318" s="434"/>
      <c r="R318" s="101">
        <v>15000000</v>
      </c>
      <c r="S318" s="453" t="s">
        <v>350</v>
      </c>
      <c r="T318" s="101"/>
      <c r="U318" s="462" t="s">
        <v>359</v>
      </c>
      <c r="V318" s="497"/>
      <c r="W318" s="497"/>
      <c r="X318" s="498"/>
      <c r="Y318" s="498">
        <v>1250000</v>
      </c>
      <c r="Z318" s="498">
        <v>1250000</v>
      </c>
      <c r="AA318" s="498">
        <v>1250000</v>
      </c>
      <c r="AB318" s="498">
        <v>1250000</v>
      </c>
      <c r="AC318" s="498">
        <v>1250000</v>
      </c>
      <c r="AD318" s="498">
        <v>1250000</v>
      </c>
      <c r="AE318" s="498">
        <v>1250000</v>
      </c>
      <c r="AF318" s="498">
        <v>1250000</v>
      </c>
      <c r="AG318" s="498"/>
      <c r="AH318" s="501">
        <f t="shared" si="218"/>
        <v>10000000</v>
      </c>
      <c r="AI318" s="719">
        <v>6921</v>
      </c>
      <c r="AJ318" s="720">
        <v>44218</v>
      </c>
      <c r="AK318" s="536">
        <v>20000000</v>
      </c>
      <c r="AL318" s="536">
        <v>20000000</v>
      </c>
      <c r="AM318" s="536">
        <v>7512898</v>
      </c>
      <c r="AN318" s="717">
        <f>(R318+R319)-AL318</f>
        <v>10000000</v>
      </c>
      <c r="AO318" s="717">
        <f>(AL318)-AM318</f>
        <v>12487102</v>
      </c>
      <c r="AP318" s="718">
        <f>(R318+R319)-AL318+AO318</f>
        <v>22487102</v>
      </c>
      <c r="AQ318" s="440"/>
      <c r="AR318" s="285"/>
      <c r="AS318" s="285"/>
      <c r="AT318" s="285"/>
      <c r="AU318" s="285"/>
      <c r="AV318" s="285"/>
      <c r="AW318" s="285"/>
      <c r="AX318" s="285"/>
      <c r="AY318" s="285"/>
      <c r="AZ318" s="285"/>
      <c r="BA318" s="285"/>
      <c r="BB318" s="285"/>
      <c r="BC318" s="285"/>
      <c r="BD318" s="285"/>
      <c r="BE318" s="285"/>
      <c r="BF318" s="285"/>
      <c r="BG318" s="285"/>
      <c r="BH318" s="285"/>
      <c r="BI318" s="285"/>
      <c r="BJ318" s="285"/>
      <c r="BK318" s="285"/>
      <c r="BL318" s="285"/>
      <c r="BM318" s="285"/>
      <c r="BN318" s="285"/>
      <c r="BO318" s="285"/>
      <c r="BP318" s="285"/>
      <c r="BQ318" s="285"/>
      <c r="BR318" s="285"/>
      <c r="BS318" s="285"/>
      <c r="BT318" s="285"/>
      <c r="BU318" s="285"/>
      <c r="BV318" s="285"/>
    </row>
    <row r="319" spans="2:74" ht="30" x14ac:dyDescent="0.2">
      <c r="B319" s="682"/>
      <c r="C319" s="683"/>
      <c r="D319" s="683"/>
      <c r="E319" s="683"/>
      <c r="F319" s="683"/>
      <c r="G319" s="683"/>
      <c r="H319" s="683"/>
      <c r="I319" s="683"/>
      <c r="J319" s="683"/>
      <c r="K319" s="450">
        <v>90101500</v>
      </c>
      <c r="L319" s="451" t="s">
        <v>353</v>
      </c>
      <c r="M319" s="134">
        <v>44206</v>
      </c>
      <c r="N319" s="134" t="s">
        <v>540</v>
      </c>
      <c r="O319" s="157" t="s">
        <v>324</v>
      </c>
      <c r="P319" s="157" t="s">
        <v>375</v>
      </c>
      <c r="Q319" s="434"/>
      <c r="R319" s="101">
        <v>15000000</v>
      </c>
      <c r="S319" s="453" t="s">
        <v>350</v>
      </c>
      <c r="T319" s="101"/>
      <c r="U319" s="462" t="s">
        <v>359</v>
      </c>
      <c r="V319" s="497"/>
      <c r="W319" s="497"/>
      <c r="X319" s="498"/>
      <c r="Y319" s="498">
        <v>1250000</v>
      </c>
      <c r="Z319" s="498">
        <v>1250000</v>
      </c>
      <c r="AA319" s="498">
        <v>1250000</v>
      </c>
      <c r="AB319" s="498">
        <v>1250000</v>
      </c>
      <c r="AC319" s="498">
        <v>1250000</v>
      </c>
      <c r="AD319" s="498">
        <v>1250000</v>
      </c>
      <c r="AE319" s="498">
        <v>1250000</v>
      </c>
      <c r="AF319" s="498">
        <v>1250000</v>
      </c>
      <c r="AG319" s="498"/>
      <c r="AH319" s="501">
        <f t="shared" si="218"/>
        <v>10000000</v>
      </c>
      <c r="AI319" s="719"/>
      <c r="AJ319" s="720"/>
      <c r="AK319" s="536"/>
      <c r="AL319" s="536"/>
      <c r="AM319" s="536"/>
      <c r="AN319" s="717"/>
      <c r="AO319" s="717"/>
      <c r="AP319" s="718"/>
      <c r="AQ319" s="440"/>
      <c r="AR319" s="285"/>
      <c r="AS319" s="285"/>
      <c r="AT319" s="285"/>
      <c r="AU319" s="285"/>
      <c r="AV319" s="285"/>
      <c r="AW319" s="285"/>
      <c r="AX319" s="285"/>
      <c r="AY319" s="285"/>
      <c r="AZ319" s="285"/>
      <c r="BA319" s="285"/>
      <c r="BB319" s="285"/>
      <c r="BC319" s="285"/>
      <c r="BD319" s="285"/>
      <c r="BE319" s="285"/>
      <c r="BF319" s="285"/>
      <c r="BG319" s="285"/>
      <c r="BH319" s="285"/>
      <c r="BI319" s="285"/>
      <c r="BJ319" s="285"/>
      <c r="BK319" s="285"/>
      <c r="BL319" s="285"/>
      <c r="BM319" s="285"/>
      <c r="BN319" s="285"/>
      <c r="BO319" s="285"/>
      <c r="BP319" s="285"/>
      <c r="BQ319" s="285"/>
      <c r="BR319" s="285"/>
      <c r="BS319" s="285"/>
      <c r="BT319" s="285"/>
      <c r="BU319" s="285"/>
      <c r="BV319" s="285"/>
    </row>
    <row r="320" spans="2:74" s="394" customFormat="1" x14ac:dyDescent="0.2">
      <c r="B320" s="738"/>
      <c r="C320" s="739"/>
      <c r="D320" s="739"/>
      <c r="E320" s="739"/>
      <c r="F320" s="739"/>
      <c r="G320" s="739"/>
      <c r="H320" s="739"/>
      <c r="I320" s="739"/>
      <c r="J320" s="739"/>
      <c r="K320" s="450"/>
      <c r="L320" s="451" t="s">
        <v>354</v>
      </c>
      <c r="M320" s="157" t="s">
        <v>375</v>
      </c>
      <c r="N320" s="157" t="s">
        <v>375</v>
      </c>
      <c r="O320" s="157" t="s">
        <v>375</v>
      </c>
      <c r="P320" s="157" t="s">
        <v>375</v>
      </c>
      <c r="Q320" s="434"/>
      <c r="R320" s="101">
        <v>30000000</v>
      </c>
      <c r="S320" s="453" t="s">
        <v>350</v>
      </c>
      <c r="T320" s="101"/>
      <c r="U320" s="462" t="s">
        <v>355</v>
      </c>
      <c r="V320" s="497"/>
      <c r="W320" s="497">
        <v>2728000</v>
      </c>
      <c r="X320" s="497">
        <v>2728000</v>
      </c>
      <c r="Y320" s="497">
        <v>2728000</v>
      </c>
      <c r="Z320" s="497">
        <v>2728000</v>
      </c>
      <c r="AA320" s="497">
        <v>2728000</v>
      </c>
      <c r="AB320" s="497">
        <v>2728000</v>
      </c>
      <c r="AC320" s="497">
        <v>2728000</v>
      </c>
      <c r="AD320" s="497">
        <v>2728000</v>
      </c>
      <c r="AE320" s="497">
        <v>2728000</v>
      </c>
      <c r="AF320" s="497">
        <v>2728000</v>
      </c>
      <c r="AG320" s="497">
        <v>2720000</v>
      </c>
      <c r="AH320" s="501">
        <f t="shared" si="218"/>
        <v>30000000</v>
      </c>
      <c r="AI320" s="634" t="s">
        <v>679</v>
      </c>
      <c r="AJ320" s="535" t="s">
        <v>430</v>
      </c>
      <c r="AK320" s="536">
        <v>21741272.879999999</v>
      </c>
      <c r="AL320" s="536">
        <v>21741272.879999999</v>
      </c>
      <c r="AM320" s="536">
        <v>12373626.880000001</v>
      </c>
      <c r="AN320" s="532">
        <f>+R320-AL320</f>
        <v>8258727.120000001</v>
      </c>
      <c r="AO320" s="532">
        <f>+AL320-AM320</f>
        <v>9367645.9999999981</v>
      </c>
      <c r="AP320" s="533">
        <f>R320-AL320+AO320</f>
        <v>17626373.119999997</v>
      </c>
      <c r="AQ320" s="440"/>
      <c r="AR320" s="285"/>
      <c r="AS320" s="285"/>
      <c r="AT320" s="285"/>
      <c r="AU320" s="285"/>
      <c r="AV320" s="285"/>
      <c r="AW320" s="285"/>
      <c r="AX320" s="285"/>
      <c r="AY320" s="285"/>
      <c r="AZ320" s="285"/>
      <c r="BA320" s="285"/>
      <c r="BB320" s="285"/>
      <c r="BC320" s="285"/>
      <c r="BD320" s="285"/>
      <c r="BE320" s="285"/>
      <c r="BF320" s="285"/>
      <c r="BG320" s="285"/>
      <c r="BH320" s="285"/>
      <c r="BI320" s="285"/>
      <c r="BJ320" s="285"/>
      <c r="BK320" s="285"/>
      <c r="BL320" s="285"/>
      <c r="BM320" s="285"/>
      <c r="BN320" s="285"/>
      <c r="BO320" s="285"/>
      <c r="BP320" s="285"/>
      <c r="BQ320" s="285"/>
      <c r="BR320" s="285"/>
      <c r="BS320" s="285"/>
      <c r="BT320" s="285"/>
      <c r="BU320" s="285"/>
      <c r="BV320" s="285"/>
    </row>
    <row r="321" spans="2:74" ht="15" customHeight="1" thickBot="1" x14ac:dyDescent="0.3">
      <c r="B321" s="507"/>
      <c r="C321" s="507"/>
      <c r="D321" s="507"/>
      <c r="E321" s="507"/>
      <c r="F321" s="507"/>
      <c r="G321" s="507"/>
      <c r="H321" s="507"/>
      <c r="I321" s="507"/>
      <c r="J321" s="507"/>
      <c r="K321" s="507"/>
      <c r="L321" s="508"/>
      <c r="M321" s="508"/>
      <c r="N321" s="509"/>
      <c r="O321" s="510"/>
      <c r="P321" s="510"/>
      <c r="Q321" s="18"/>
      <c r="R321" s="18" t="s">
        <v>430</v>
      </c>
      <c r="AI321" s="535"/>
      <c r="AJ321" s="535"/>
      <c r="AK321" s="536"/>
      <c r="AL321" s="536"/>
      <c r="AM321" s="536"/>
      <c r="AQ321" s="440"/>
      <c r="AR321" s="285"/>
      <c r="AS321" s="285"/>
      <c r="AT321" s="285"/>
      <c r="AU321" s="285"/>
      <c r="AV321" s="285"/>
      <c r="AW321" s="285"/>
      <c r="AX321" s="285"/>
      <c r="AY321" s="285"/>
      <c r="AZ321" s="285"/>
      <c r="BA321" s="285"/>
      <c r="BB321" s="285"/>
      <c r="BC321" s="285"/>
      <c r="BD321" s="285"/>
      <c r="BE321" s="285"/>
      <c r="BF321" s="285"/>
      <c r="BG321" s="285"/>
      <c r="BH321" s="285"/>
      <c r="BI321" s="285"/>
      <c r="BJ321" s="285"/>
      <c r="BK321" s="285"/>
      <c r="BL321" s="285"/>
      <c r="BM321" s="285"/>
      <c r="BN321" s="285"/>
      <c r="BO321" s="285"/>
      <c r="BP321" s="285"/>
      <c r="BQ321" s="285"/>
      <c r="BR321" s="285"/>
      <c r="BS321" s="285"/>
      <c r="BT321" s="285"/>
      <c r="BU321" s="285"/>
      <c r="BV321" s="285"/>
    </row>
    <row r="322" spans="2:74" ht="15" customHeight="1" thickBot="1" x14ac:dyDescent="0.3">
      <c r="B322" s="744" t="s">
        <v>599</v>
      </c>
      <c r="C322" s="745"/>
      <c r="D322" s="745"/>
      <c r="E322" s="745"/>
      <c r="F322" s="745"/>
      <c r="G322" s="745"/>
      <c r="H322" s="745"/>
      <c r="I322" s="745"/>
      <c r="J322" s="745"/>
      <c r="K322" s="745"/>
      <c r="L322" s="745"/>
      <c r="M322" s="745"/>
      <c r="N322" s="745"/>
      <c r="O322" s="745"/>
      <c r="P322" s="745"/>
      <c r="Q322" s="511"/>
      <c r="R322" s="512">
        <f>+R7+R191+R267+R272+R286</f>
        <v>40692000000</v>
      </c>
      <c r="AI322" s="535"/>
      <c r="AJ322" s="535"/>
      <c r="AK322" s="536"/>
      <c r="AL322" s="536"/>
      <c r="AM322" s="536"/>
      <c r="AQ322" s="440"/>
      <c r="AR322" s="285"/>
      <c r="AS322" s="285"/>
      <c r="AT322" s="285"/>
      <c r="AU322" s="285"/>
      <c r="AV322" s="285"/>
      <c r="AW322" s="285"/>
      <c r="AX322" s="285"/>
      <c r="AY322" s="285"/>
      <c r="AZ322" s="285"/>
      <c r="BA322" s="285"/>
      <c r="BB322" s="285"/>
      <c r="BC322" s="285"/>
      <c r="BD322" s="285"/>
      <c r="BE322" s="285"/>
      <c r="BF322" s="285"/>
      <c r="BG322" s="285"/>
      <c r="BH322" s="285"/>
      <c r="BI322" s="285"/>
      <c r="BJ322" s="285"/>
      <c r="BK322" s="285"/>
      <c r="BL322" s="285"/>
      <c r="BM322" s="285"/>
      <c r="BN322" s="285"/>
      <c r="BO322" s="285"/>
      <c r="BP322" s="285"/>
      <c r="BQ322" s="285"/>
      <c r="BR322" s="285"/>
      <c r="BS322" s="285"/>
      <c r="BT322" s="285"/>
      <c r="BU322" s="285"/>
      <c r="BV322" s="285"/>
    </row>
    <row r="323" spans="2:74" ht="15" customHeight="1" x14ac:dyDescent="0.2">
      <c r="AI323" s="107"/>
      <c r="AJ323" s="107"/>
      <c r="AK323" s="530"/>
      <c r="AL323" s="530"/>
      <c r="AM323" s="530"/>
      <c r="AQ323" s="440"/>
      <c r="AR323" s="285"/>
      <c r="AS323" s="285"/>
      <c r="AT323" s="285"/>
      <c r="AU323" s="285"/>
      <c r="AV323" s="285"/>
      <c r="AW323" s="285"/>
      <c r="AX323" s="285"/>
      <c r="AY323" s="285"/>
      <c r="AZ323" s="285"/>
      <c r="BA323" s="285"/>
      <c r="BB323" s="285"/>
      <c r="BC323" s="285"/>
      <c r="BD323" s="285"/>
      <c r="BE323" s="285"/>
      <c r="BF323" s="285"/>
      <c r="BG323" s="285"/>
      <c r="BH323" s="285"/>
      <c r="BI323" s="285"/>
      <c r="BJ323" s="285"/>
      <c r="BK323" s="285"/>
      <c r="BL323" s="285"/>
      <c r="BM323" s="285"/>
      <c r="BN323" s="285"/>
      <c r="BO323" s="285"/>
      <c r="BP323" s="285"/>
      <c r="BQ323" s="285"/>
      <c r="BR323" s="285"/>
      <c r="BS323" s="285"/>
      <c r="BT323" s="285"/>
      <c r="BU323" s="285"/>
      <c r="BV323" s="285"/>
    </row>
    <row r="324" spans="2:74" ht="15" customHeight="1" x14ac:dyDescent="0.2">
      <c r="AI324" s="107"/>
      <c r="AJ324" s="107"/>
      <c r="AK324" s="530"/>
      <c r="AL324" s="530"/>
      <c r="AM324" s="530"/>
      <c r="AQ324" s="440"/>
      <c r="AR324" s="285"/>
      <c r="AS324" s="285"/>
      <c r="AT324" s="285"/>
      <c r="AU324" s="285"/>
      <c r="AV324" s="285"/>
      <c r="AW324" s="285"/>
      <c r="AX324" s="285"/>
      <c r="AY324" s="285"/>
      <c r="AZ324" s="285"/>
      <c r="BA324" s="285"/>
      <c r="BB324" s="285"/>
      <c r="BC324" s="285"/>
      <c r="BD324" s="285"/>
      <c r="BE324" s="285"/>
      <c r="BF324" s="285"/>
      <c r="BG324" s="285"/>
      <c r="BH324" s="285"/>
      <c r="BI324" s="285"/>
      <c r="BJ324" s="285"/>
      <c r="BK324" s="285"/>
      <c r="BL324" s="285"/>
      <c r="BM324" s="285"/>
      <c r="BN324" s="285"/>
      <c r="BO324" s="285"/>
      <c r="BP324" s="285"/>
      <c r="BQ324" s="285"/>
      <c r="BR324" s="285"/>
      <c r="BS324" s="285"/>
      <c r="BT324" s="285"/>
      <c r="BU324" s="285"/>
      <c r="BV324" s="285"/>
    </row>
    <row r="325" spans="2:74" ht="15" customHeight="1" x14ac:dyDescent="0.2">
      <c r="AI325" s="107"/>
      <c r="AJ325" s="107"/>
      <c r="AK325" s="530"/>
      <c r="AL325" s="530"/>
      <c r="AM325" s="530"/>
      <c r="AQ325" s="440"/>
      <c r="AR325" s="440"/>
      <c r="AS325" s="285"/>
      <c r="AT325" s="285"/>
      <c r="AU325" s="285"/>
      <c r="AV325" s="285"/>
      <c r="AW325" s="285"/>
      <c r="AX325" s="285"/>
    </row>
    <row r="326" spans="2:74" ht="26.25" customHeight="1" x14ac:dyDescent="0.2">
      <c r="AI326" s="107"/>
      <c r="AJ326" s="107"/>
      <c r="AK326" s="530"/>
      <c r="AL326" s="530"/>
      <c r="AM326" s="530"/>
      <c r="AQ326" s="530"/>
      <c r="AR326" s="440"/>
      <c r="AS326" s="285"/>
      <c r="AT326" s="285"/>
      <c r="AU326" s="285"/>
      <c r="AV326" s="285"/>
      <c r="AW326" s="285"/>
      <c r="AX326" s="285"/>
    </row>
    <row r="327" spans="2:74" x14ac:dyDescent="0.2">
      <c r="AI327" s="107"/>
      <c r="AJ327" s="107"/>
      <c r="AK327" s="530"/>
      <c r="AL327" s="530"/>
      <c r="AM327" s="530"/>
      <c r="AQ327" s="440"/>
      <c r="AR327" s="440"/>
      <c r="AS327" s="285"/>
      <c r="AT327" s="285"/>
      <c r="AU327" s="285"/>
      <c r="AV327" s="285"/>
      <c r="AW327" s="285"/>
      <c r="AX327" s="285"/>
    </row>
    <row r="328" spans="2:74" x14ac:dyDescent="0.2">
      <c r="AI328" s="107"/>
      <c r="AJ328" s="107"/>
      <c r="AK328" s="530"/>
      <c r="AL328" s="530"/>
      <c r="AM328" s="530"/>
      <c r="AQ328" s="440"/>
      <c r="AR328" s="440"/>
      <c r="AS328" s="285"/>
      <c r="AT328" s="285"/>
      <c r="AU328" s="285"/>
      <c r="AV328" s="285"/>
      <c r="AW328" s="285"/>
      <c r="AX328" s="285"/>
    </row>
    <row r="329" spans="2:74" x14ac:dyDescent="0.2">
      <c r="AI329" s="107"/>
      <c r="AJ329" s="107"/>
      <c r="AK329" s="530"/>
      <c r="AL329" s="530"/>
      <c r="AM329" s="530"/>
      <c r="AQ329" s="440"/>
      <c r="AR329" s="440"/>
      <c r="AS329" s="548"/>
      <c r="AT329" s="285" t="s">
        <v>616</v>
      </c>
      <c r="AU329" s="285"/>
      <c r="AV329" s="285"/>
      <c r="AW329" s="285"/>
      <c r="AX329" s="285"/>
    </row>
    <row r="330" spans="2:74" x14ac:dyDescent="0.2">
      <c r="AI330" s="107"/>
      <c r="AJ330" s="107"/>
      <c r="AK330" s="530"/>
      <c r="AL330" s="530"/>
      <c r="AM330" s="530"/>
      <c r="AQ330" s="440"/>
      <c r="AR330" s="440"/>
      <c r="AS330" s="285"/>
      <c r="AT330" s="285"/>
      <c r="AU330" s="285"/>
      <c r="AV330" s="285"/>
      <c r="AW330" s="285"/>
      <c r="AX330" s="285"/>
    </row>
    <row r="331" spans="2:74" x14ac:dyDescent="0.2">
      <c r="AI331" s="107"/>
      <c r="AJ331" s="107"/>
      <c r="AK331" s="530"/>
      <c r="AL331" s="530"/>
      <c r="AM331" s="530"/>
      <c r="AQ331" s="440"/>
      <c r="AR331" s="440"/>
      <c r="AS331" s="285"/>
      <c r="AT331" s="285"/>
      <c r="AU331" s="285"/>
      <c r="AV331" s="285"/>
      <c r="AW331" s="285"/>
      <c r="AX331" s="285"/>
    </row>
    <row r="332" spans="2:74" x14ac:dyDescent="0.2">
      <c r="AI332" s="107"/>
      <c r="AJ332" s="107"/>
      <c r="AK332" s="530"/>
      <c r="AL332" s="530"/>
      <c r="AM332" s="530"/>
      <c r="AQ332" s="440"/>
      <c r="AR332" s="440"/>
      <c r="AS332" s="285"/>
      <c r="AT332" s="285"/>
      <c r="AU332" s="285"/>
      <c r="AV332" s="285"/>
      <c r="AW332" s="285"/>
      <c r="AX332" s="285"/>
    </row>
    <row r="333" spans="2:74" x14ac:dyDescent="0.2">
      <c r="AI333" s="107"/>
      <c r="AJ333" s="107"/>
      <c r="AK333" s="530"/>
      <c r="AL333" s="530"/>
      <c r="AM333" s="530"/>
      <c r="AQ333" s="440"/>
      <c r="AR333" s="440"/>
    </row>
    <row r="334" spans="2:74" x14ac:dyDescent="0.2">
      <c r="AI334" s="107"/>
      <c r="AJ334" s="107"/>
      <c r="AK334" s="530"/>
      <c r="AL334" s="530"/>
      <c r="AM334" s="530"/>
      <c r="AQ334" s="440"/>
      <c r="AR334" s="440"/>
    </row>
    <row r="335" spans="2:74" x14ac:dyDescent="0.2">
      <c r="AI335" s="107"/>
      <c r="AJ335" s="107"/>
      <c r="AK335" s="530"/>
      <c r="AL335" s="530"/>
      <c r="AM335" s="530"/>
      <c r="AQ335" s="440"/>
      <c r="AR335" s="440"/>
    </row>
    <row r="336" spans="2:74" x14ac:dyDescent="0.2">
      <c r="AI336" s="107"/>
      <c r="AJ336" s="107"/>
      <c r="AK336" s="530"/>
      <c r="AL336" s="530"/>
      <c r="AM336" s="530"/>
      <c r="AQ336" s="440"/>
      <c r="AR336" s="440"/>
    </row>
    <row r="337" spans="35:44" x14ac:dyDescent="0.2">
      <c r="AI337" s="107"/>
      <c r="AJ337" s="107"/>
      <c r="AK337" s="530"/>
      <c r="AL337" s="530"/>
      <c r="AM337" s="530"/>
      <c r="AQ337" s="440"/>
      <c r="AR337" s="440"/>
    </row>
    <row r="338" spans="35:44" x14ac:dyDescent="0.2">
      <c r="AI338" s="107"/>
      <c r="AJ338" s="107"/>
      <c r="AK338" s="530"/>
      <c r="AL338" s="530"/>
      <c r="AM338" s="530"/>
      <c r="AQ338" s="440"/>
      <c r="AR338" s="440"/>
    </row>
    <row r="339" spans="35:44" x14ac:dyDescent="0.2">
      <c r="AI339" s="107"/>
      <c r="AJ339" s="107"/>
      <c r="AK339" s="530"/>
      <c r="AL339" s="530"/>
      <c r="AM339" s="530"/>
      <c r="AQ339" s="440"/>
      <c r="AR339" s="440"/>
    </row>
    <row r="340" spans="35:44" x14ac:dyDescent="0.2">
      <c r="AI340" s="107"/>
      <c r="AJ340" s="107"/>
      <c r="AK340" s="530"/>
      <c r="AL340" s="530"/>
      <c r="AM340" s="530"/>
      <c r="AQ340" s="440"/>
      <c r="AR340" s="440"/>
    </row>
    <row r="341" spans="35:44" x14ac:dyDescent="0.2">
      <c r="AI341" s="107"/>
      <c r="AJ341" s="107"/>
      <c r="AK341" s="530"/>
      <c r="AL341" s="530"/>
      <c r="AM341" s="530"/>
      <c r="AQ341" s="440"/>
      <c r="AR341" s="440"/>
    </row>
    <row r="342" spans="35:44" x14ac:dyDescent="0.2">
      <c r="AI342" s="107"/>
      <c r="AJ342" s="107"/>
      <c r="AK342" s="530"/>
      <c r="AL342" s="530"/>
      <c r="AM342" s="530"/>
      <c r="AQ342" s="440"/>
      <c r="AR342" s="440"/>
    </row>
    <row r="343" spans="35:44" x14ac:dyDescent="0.2">
      <c r="AI343" s="107"/>
      <c r="AJ343" s="107"/>
      <c r="AK343" s="530"/>
      <c r="AL343" s="530"/>
      <c r="AM343" s="530"/>
      <c r="AQ343" s="440"/>
      <c r="AR343" s="440"/>
    </row>
    <row r="344" spans="35:44" x14ac:dyDescent="0.2">
      <c r="AI344" s="107"/>
      <c r="AJ344" s="107"/>
      <c r="AK344" s="530"/>
      <c r="AL344" s="530"/>
      <c r="AM344" s="530"/>
      <c r="AQ344" s="440"/>
      <c r="AR344" s="440"/>
    </row>
    <row r="345" spans="35:44" x14ac:dyDescent="0.2">
      <c r="AI345" s="107"/>
      <c r="AJ345" s="107"/>
      <c r="AK345" s="530"/>
      <c r="AL345" s="530"/>
      <c r="AM345" s="530"/>
      <c r="AQ345" s="440"/>
      <c r="AR345" s="440"/>
    </row>
    <row r="346" spans="35:44" x14ac:dyDescent="0.2">
      <c r="AI346" s="107"/>
      <c r="AJ346" s="107"/>
      <c r="AK346" s="530"/>
      <c r="AL346" s="530"/>
      <c r="AM346" s="530"/>
      <c r="AQ346" s="440"/>
      <c r="AR346" s="440"/>
    </row>
    <row r="347" spans="35:44" x14ac:dyDescent="0.2">
      <c r="AI347" s="107"/>
      <c r="AJ347" s="107"/>
      <c r="AK347" s="530"/>
      <c r="AL347" s="530"/>
      <c r="AM347" s="530"/>
      <c r="AQ347" s="440"/>
      <c r="AR347" s="440"/>
    </row>
    <row r="348" spans="35:44" x14ac:dyDescent="0.2">
      <c r="AI348" s="107"/>
      <c r="AJ348" s="107"/>
      <c r="AK348" s="530"/>
      <c r="AL348" s="530"/>
      <c r="AM348" s="530"/>
      <c r="AQ348" s="440"/>
      <c r="AR348" s="440"/>
    </row>
    <row r="349" spans="35:44" x14ac:dyDescent="0.2">
      <c r="AI349" s="107"/>
      <c r="AJ349" s="107"/>
      <c r="AK349" s="530"/>
      <c r="AL349" s="530"/>
      <c r="AM349" s="530"/>
      <c r="AQ349" s="440"/>
      <c r="AR349" s="440"/>
    </row>
    <row r="350" spans="35:44" x14ac:dyDescent="0.2">
      <c r="AI350" s="107"/>
      <c r="AJ350" s="107"/>
      <c r="AK350" s="530"/>
      <c r="AL350" s="530"/>
      <c r="AM350" s="530"/>
      <c r="AQ350" s="440"/>
      <c r="AR350" s="440"/>
    </row>
    <row r="351" spans="35:44" x14ac:dyDescent="0.2">
      <c r="AI351" s="107"/>
      <c r="AJ351" s="107"/>
      <c r="AK351" s="530"/>
      <c r="AL351" s="530"/>
      <c r="AM351" s="530"/>
      <c r="AQ351" s="440"/>
      <c r="AR351" s="440"/>
    </row>
    <row r="352" spans="35:44" x14ac:dyDescent="0.2">
      <c r="AI352" s="107"/>
      <c r="AJ352" s="107"/>
      <c r="AK352" s="530"/>
      <c r="AL352" s="530"/>
      <c r="AM352" s="530"/>
      <c r="AQ352" s="440"/>
      <c r="AR352" s="440"/>
    </row>
    <row r="353" spans="35:44" x14ac:dyDescent="0.2">
      <c r="AI353" s="107"/>
      <c r="AJ353" s="107"/>
      <c r="AK353" s="530"/>
      <c r="AL353" s="530"/>
      <c r="AM353" s="530"/>
      <c r="AQ353" s="440"/>
      <c r="AR353" s="440"/>
    </row>
    <row r="354" spans="35:44" x14ac:dyDescent="0.2">
      <c r="AI354" s="107"/>
      <c r="AJ354" s="107"/>
      <c r="AK354" s="530"/>
      <c r="AL354" s="530"/>
      <c r="AM354" s="530"/>
      <c r="AQ354" s="440"/>
      <c r="AR354" s="440"/>
    </row>
    <row r="355" spans="35:44" x14ac:dyDescent="0.2">
      <c r="AI355" s="107"/>
      <c r="AJ355" s="107"/>
      <c r="AK355" s="530"/>
      <c r="AL355" s="530"/>
      <c r="AM355" s="530"/>
      <c r="AQ355" s="440"/>
      <c r="AR355" s="440"/>
    </row>
    <row r="356" spans="35:44" x14ac:dyDescent="0.2">
      <c r="AI356" s="107"/>
      <c r="AJ356" s="107"/>
      <c r="AK356" s="530"/>
      <c r="AL356" s="530"/>
      <c r="AM356" s="530"/>
      <c r="AQ356" s="440"/>
      <c r="AR356" s="440"/>
    </row>
    <row r="357" spans="35:44" x14ac:dyDescent="0.2">
      <c r="AI357" s="107"/>
      <c r="AJ357" s="107"/>
      <c r="AK357" s="530"/>
      <c r="AL357" s="530"/>
      <c r="AM357" s="530"/>
      <c r="AQ357" s="440"/>
      <c r="AR357" s="440"/>
    </row>
    <row r="358" spans="35:44" x14ac:dyDescent="0.2">
      <c r="AR358" s="440"/>
    </row>
    <row r="359" spans="35:44" x14ac:dyDescent="0.2">
      <c r="AI359" s="107"/>
      <c r="AJ359" s="107"/>
      <c r="AK359" s="530"/>
      <c r="AL359" s="530"/>
      <c r="AM359" s="530"/>
      <c r="AQ359" s="440"/>
      <c r="AR359" s="440"/>
    </row>
    <row r="360" spans="35:44" x14ac:dyDescent="0.2">
      <c r="AI360" s="107"/>
      <c r="AJ360" s="107"/>
      <c r="AK360" s="530"/>
      <c r="AL360" s="530"/>
      <c r="AM360" s="530"/>
      <c r="AQ360" s="440"/>
      <c r="AR360" s="440"/>
    </row>
    <row r="361" spans="35:44" x14ac:dyDescent="0.2">
      <c r="AI361" s="107"/>
      <c r="AJ361" s="107"/>
      <c r="AK361" s="530"/>
      <c r="AL361" s="530"/>
      <c r="AM361" s="530"/>
      <c r="AQ361" s="440"/>
      <c r="AR361" s="440"/>
    </row>
    <row r="362" spans="35:44" x14ac:dyDescent="0.2">
      <c r="AI362" s="107"/>
      <c r="AJ362" s="107"/>
      <c r="AK362" s="530"/>
      <c r="AL362" s="530"/>
      <c r="AM362" s="530"/>
      <c r="AQ362" s="440"/>
      <c r="AR362" s="440"/>
    </row>
    <row r="363" spans="35:44" x14ac:dyDescent="0.2">
      <c r="AI363" s="107"/>
      <c r="AJ363" s="107"/>
      <c r="AK363" s="530"/>
      <c r="AL363" s="530"/>
      <c r="AM363" s="530"/>
      <c r="AQ363" s="440"/>
      <c r="AR363" s="440"/>
    </row>
    <row r="364" spans="35:44" x14ac:dyDescent="0.2">
      <c r="AI364" s="107"/>
      <c r="AJ364" s="107"/>
      <c r="AK364" s="530"/>
      <c r="AL364" s="530"/>
      <c r="AM364" s="530"/>
      <c r="AQ364" s="440"/>
      <c r="AR364" s="440"/>
    </row>
    <row r="365" spans="35:44" x14ac:dyDescent="0.2">
      <c r="AI365" s="107"/>
      <c r="AJ365" s="107"/>
      <c r="AK365" s="530"/>
      <c r="AL365" s="530"/>
      <c r="AM365" s="530"/>
      <c r="AQ365" s="440"/>
      <c r="AR365" s="440"/>
    </row>
    <row r="366" spans="35:44" x14ac:dyDescent="0.2">
      <c r="AI366" s="107"/>
      <c r="AJ366" s="107"/>
      <c r="AK366" s="530"/>
      <c r="AL366" s="530"/>
      <c r="AM366" s="530"/>
      <c r="AQ366" s="440"/>
      <c r="AR366" s="440"/>
    </row>
    <row r="367" spans="35:44" x14ac:dyDescent="0.2">
      <c r="AI367" s="107"/>
      <c r="AJ367" s="107"/>
      <c r="AK367" s="530"/>
      <c r="AL367" s="530"/>
      <c r="AM367" s="530"/>
      <c r="AQ367" s="440"/>
      <c r="AR367" s="440"/>
    </row>
    <row r="368" spans="35:44" x14ac:dyDescent="0.2">
      <c r="AI368" s="107"/>
      <c r="AJ368" s="107"/>
      <c r="AK368" s="530"/>
      <c r="AL368" s="530"/>
      <c r="AM368" s="530"/>
      <c r="AQ368" s="440"/>
      <c r="AR368" s="440"/>
    </row>
    <row r="369" spans="35:44" x14ac:dyDescent="0.2">
      <c r="AI369" s="107"/>
      <c r="AJ369" s="107"/>
      <c r="AK369" s="530"/>
      <c r="AL369" s="530"/>
      <c r="AM369" s="530"/>
      <c r="AQ369" s="440"/>
      <c r="AR369" s="440"/>
    </row>
    <row r="370" spans="35:44" x14ac:dyDescent="0.2">
      <c r="AI370" s="107"/>
      <c r="AJ370" s="107"/>
      <c r="AK370" s="530"/>
      <c r="AL370" s="530"/>
      <c r="AM370" s="530"/>
      <c r="AQ370" s="440"/>
      <c r="AR370" s="440"/>
    </row>
    <row r="371" spans="35:44" x14ac:dyDescent="0.2">
      <c r="AI371" s="107"/>
      <c r="AJ371" s="107"/>
      <c r="AK371" s="530"/>
      <c r="AL371" s="530"/>
      <c r="AM371" s="530"/>
      <c r="AQ371" s="440"/>
      <c r="AR371" s="440"/>
    </row>
    <row r="372" spans="35:44" x14ac:dyDescent="0.2">
      <c r="AI372" s="107"/>
      <c r="AJ372" s="107"/>
      <c r="AK372" s="530"/>
      <c r="AL372" s="530"/>
      <c r="AM372" s="530"/>
      <c r="AQ372" s="440"/>
      <c r="AR372" s="440"/>
    </row>
    <row r="373" spans="35:44" x14ac:dyDescent="0.2">
      <c r="AI373" s="107"/>
      <c r="AJ373" s="107"/>
      <c r="AK373" s="530"/>
      <c r="AL373" s="530"/>
      <c r="AM373" s="530"/>
      <c r="AQ373" s="440"/>
      <c r="AR373" s="440"/>
    </row>
    <row r="374" spans="35:44" x14ac:dyDescent="0.2">
      <c r="AI374" s="107"/>
      <c r="AJ374" s="107"/>
      <c r="AK374" s="530"/>
      <c r="AL374" s="530"/>
      <c r="AM374" s="530"/>
      <c r="AQ374" s="440"/>
      <c r="AR374" s="440"/>
    </row>
    <row r="375" spans="35:44" x14ac:dyDescent="0.2">
      <c r="AI375" s="107"/>
      <c r="AJ375" s="107"/>
      <c r="AK375" s="530"/>
      <c r="AL375" s="530"/>
      <c r="AM375" s="530"/>
      <c r="AQ375" s="440"/>
      <c r="AR375" s="440"/>
    </row>
    <row r="376" spans="35:44" x14ac:dyDescent="0.2">
      <c r="AI376" s="107"/>
      <c r="AJ376" s="107"/>
      <c r="AK376" s="530"/>
      <c r="AL376" s="530"/>
      <c r="AM376" s="530"/>
      <c r="AQ376" s="440"/>
      <c r="AR376" s="440"/>
    </row>
    <row r="377" spans="35:44" x14ac:dyDescent="0.2">
      <c r="AI377" s="107"/>
      <c r="AJ377" s="107"/>
      <c r="AK377" s="530"/>
      <c r="AL377" s="530"/>
      <c r="AM377" s="530"/>
      <c r="AQ377" s="440"/>
      <c r="AR377" s="440"/>
    </row>
    <row r="378" spans="35:44" x14ac:dyDescent="0.2">
      <c r="AI378" s="107"/>
      <c r="AJ378" s="107"/>
      <c r="AK378" s="530"/>
      <c r="AL378" s="530"/>
      <c r="AM378" s="530"/>
      <c r="AQ378" s="440"/>
      <c r="AR378" s="440"/>
    </row>
    <row r="379" spans="35:44" x14ac:dyDescent="0.2">
      <c r="AI379" s="107"/>
      <c r="AJ379" s="107"/>
      <c r="AK379" s="530"/>
      <c r="AL379" s="530"/>
      <c r="AM379" s="530"/>
      <c r="AQ379" s="440"/>
      <c r="AR379" s="440"/>
    </row>
    <row r="380" spans="35:44" x14ac:dyDescent="0.2">
      <c r="AI380" s="107"/>
      <c r="AJ380" s="107"/>
      <c r="AK380" s="530"/>
      <c r="AL380" s="530"/>
      <c r="AM380" s="530"/>
      <c r="AQ380" s="440"/>
      <c r="AR380" s="440"/>
    </row>
    <row r="381" spans="35:44" x14ac:dyDescent="0.2">
      <c r="AI381" s="107"/>
      <c r="AJ381" s="107"/>
      <c r="AK381" s="530"/>
      <c r="AL381" s="530"/>
      <c r="AM381" s="530"/>
      <c r="AQ381" s="440"/>
      <c r="AR381" s="440"/>
    </row>
    <row r="382" spans="35:44" x14ac:dyDescent="0.2">
      <c r="AI382" s="107"/>
      <c r="AJ382" s="107"/>
      <c r="AK382" s="530"/>
      <c r="AL382" s="530"/>
      <c r="AM382" s="530"/>
      <c r="AQ382" s="440"/>
      <c r="AR382" s="440"/>
    </row>
    <row r="383" spans="35:44" x14ac:dyDescent="0.2">
      <c r="AI383" s="107"/>
      <c r="AJ383" s="107"/>
      <c r="AK383" s="530"/>
      <c r="AL383" s="530"/>
      <c r="AM383" s="530"/>
      <c r="AQ383" s="440"/>
      <c r="AR383" s="440"/>
    </row>
    <row r="384" spans="35:44" x14ac:dyDescent="0.2">
      <c r="AI384" s="107"/>
      <c r="AJ384" s="107"/>
      <c r="AK384" s="530"/>
      <c r="AL384" s="530"/>
      <c r="AM384" s="530"/>
      <c r="AQ384" s="440"/>
      <c r="AR384" s="440"/>
    </row>
    <row r="385" spans="35:44" x14ac:dyDescent="0.2">
      <c r="AI385" s="107"/>
      <c r="AJ385" s="107"/>
      <c r="AK385" s="530"/>
      <c r="AL385" s="530"/>
      <c r="AM385" s="530"/>
      <c r="AQ385" s="440"/>
      <c r="AR385" s="440"/>
    </row>
    <row r="386" spans="35:44" x14ac:dyDescent="0.2">
      <c r="AI386" s="107"/>
      <c r="AJ386" s="107"/>
      <c r="AK386" s="530"/>
      <c r="AL386" s="530"/>
      <c r="AM386" s="530"/>
      <c r="AQ386" s="440"/>
      <c r="AR386" s="440"/>
    </row>
    <row r="387" spans="35:44" x14ac:dyDescent="0.2">
      <c r="AI387" s="107"/>
      <c r="AJ387" s="107"/>
      <c r="AK387" s="530"/>
      <c r="AL387" s="530"/>
      <c r="AM387" s="530"/>
      <c r="AQ387" s="440"/>
      <c r="AR387" s="440"/>
    </row>
    <row r="388" spans="35:44" x14ac:dyDescent="0.2">
      <c r="AI388" s="107"/>
      <c r="AJ388" s="107"/>
      <c r="AK388" s="530"/>
      <c r="AL388" s="530"/>
      <c r="AM388" s="530"/>
      <c r="AQ388" s="440"/>
      <c r="AR388" s="440"/>
    </row>
    <row r="389" spans="35:44" x14ac:dyDescent="0.2">
      <c r="AI389" s="107"/>
      <c r="AJ389" s="107"/>
      <c r="AK389" s="530"/>
      <c r="AL389" s="530"/>
      <c r="AM389" s="530"/>
      <c r="AQ389" s="440"/>
      <c r="AR389" s="440"/>
    </row>
    <row r="390" spans="35:44" x14ac:dyDescent="0.2">
      <c r="AI390" s="107"/>
      <c r="AJ390" s="107"/>
      <c r="AK390" s="530"/>
      <c r="AL390" s="530"/>
      <c r="AM390" s="530"/>
      <c r="AQ390" s="440"/>
      <c r="AR390" s="440"/>
    </row>
    <row r="391" spans="35:44" x14ac:dyDescent="0.2">
      <c r="AI391" s="107"/>
      <c r="AJ391" s="107"/>
      <c r="AK391" s="530"/>
      <c r="AL391" s="530"/>
      <c r="AM391" s="530"/>
      <c r="AQ391" s="440"/>
      <c r="AR391" s="440"/>
    </row>
    <row r="392" spans="35:44" x14ac:dyDescent="0.2">
      <c r="AI392" s="107"/>
      <c r="AJ392" s="107"/>
      <c r="AK392" s="530"/>
      <c r="AL392" s="530"/>
      <c r="AM392" s="530"/>
      <c r="AQ392" s="440"/>
      <c r="AR392" s="440"/>
    </row>
    <row r="393" spans="35:44" x14ac:dyDescent="0.2">
      <c r="AI393" s="107"/>
      <c r="AJ393" s="107"/>
      <c r="AK393" s="530"/>
      <c r="AL393" s="530"/>
      <c r="AM393" s="530"/>
      <c r="AQ393" s="440"/>
      <c r="AR393" s="440"/>
    </row>
    <row r="394" spans="35:44" x14ac:dyDescent="0.2">
      <c r="AI394" s="107"/>
      <c r="AJ394" s="107"/>
      <c r="AK394" s="530"/>
      <c r="AL394" s="530"/>
      <c r="AM394" s="530"/>
      <c r="AQ394" s="440"/>
      <c r="AR394" s="440"/>
    </row>
    <row r="395" spans="35:44" x14ac:dyDescent="0.2">
      <c r="AI395" s="107"/>
      <c r="AJ395" s="107"/>
      <c r="AK395" s="530"/>
      <c r="AL395" s="530"/>
      <c r="AM395" s="530"/>
      <c r="AQ395" s="440"/>
      <c r="AR395" s="440"/>
    </row>
    <row r="396" spans="35:44" x14ac:dyDescent="0.2">
      <c r="AI396" s="107"/>
      <c r="AJ396" s="107"/>
      <c r="AK396" s="530"/>
      <c r="AL396" s="530"/>
      <c r="AM396" s="530"/>
      <c r="AQ396" s="440"/>
      <c r="AR396" s="440"/>
    </row>
    <row r="397" spans="35:44" x14ac:dyDescent="0.2">
      <c r="AI397" s="107"/>
      <c r="AJ397" s="107"/>
      <c r="AK397" s="530"/>
      <c r="AL397" s="530"/>
      <c r="AM397" s="530"/>
      <c r="AQ397" s="440"/>
      <c r="AR397" s="440"/>
    </row>
    <row r="398" spans="35:44" x14ac:dyDescent="0.2">
      <c r="AI398" s="107"/>
      <c r="AJ398" s="107"/>
      <c r="AK398" s="530"/>
      <c r="AL398" s="530"/>
      <c r="AM398" s="530"/>
      <c r="AQ398" s="440"/>
      <c r="AR398" s="440"/>
    </row>
    <row r="399" spans="35:44" x14ac:dyDescent="0.2">
      <c r="AI399" s="107"/>
      <c r="AJ399" s="107"/>
      <c r="AK399" s="530"/>
      <c r="AL399" s="530"/>
      <c r="AM399" s="530"/>
      <c r="AQ399" s="440"/>
      <c r="AR399" s="440"/>
    </row>
    <row r="400" spans="35:44" x14ac:dyDescent="0.2">
      <c r="AI400" s="107"/>
      <c r="AJ400" s="107"/>
      <c r="AK400" s="530"/>
      <c r="AL400" s="530"/>
      <c r="AM400" s="530"/>
      <c r="AQ400" s="440"/>
      <c r="AR400" s="440"/>
    </row>
    <row r="401" spans="35:44" x14ac:dyDescent="0.2">
      <c r="AI401" s="107"/>
      <c r="AJ401" s="107"/>
      <c r="AK401" s="530"/>
      <c r="AL401" s="530"/>
      <c r="AM401" s="530"/>
      <c r="AQ401" s="440"/>
      <c r="AR401" s="440"/>
    </row>
    <row r="402" spans="35:44" x14ac:dyDescent="0.2">
      <c r="AI402" s="107"/>
      <c r="AJ402" s="107"/>
      <c r="AK402" s="530"/>
      <c r="AL402" s="530"/>
      <c r="AM402" s="530"/>
      <c r="AQ402" s="440"/>
      <c r="AR402" s="440"/>
    </row>
    <row r="403" spans="35:44" x14ac:dyDescent="0.2">
      <c r="AI403" s="107"/>
      <c r="AJ403" s="107"/>
      <c r="AK403" s="530"/>
      <c r="AL403" s="530"/>
      <c r="AM403" s="530"/>
      <c r="AQ403" s="440"/>
      <c r="AR403" s="440"/>
    </row>
    <row r="404" spans="35:44" x14ac:dyDescent="0.2">
      <c r="AI404" s="107"/>
      <c r="AJ404" s="107"/>
      <c r="AK404" s="530"/>
      <c r="AL404" s="530"/>
      <c r="AM404" s="530"/>
      <c r="AQ404" s="440"/>
      <c r="AR404" s="440"/>
    </row>
    <row r="405" spans="35:44" x14ac:dyDescent="0.2">
      <c r="AI405" s="107"/>
      <c r="AJ405" s="107"/>
      <c r="AK405" s="530"/>
      <c r="AL405" s="530"/>
      <c r="AM405" s="530"/>
      <c r="AQ405" s="440"/>
      <c r="AR405" s="440"/>
    </row>
    <row r="406" spans="35:44" x14ac:dyDescent="0.2">
      <c r="AI406" s="107"/>
      <c r="AJ406" s="107"/>
      <c r="AK406" s="530"/>
      <c r="AL406" s="530"/>
      <c r="AM406" s="530"/>
      <c r="AQ406" s="440"/>
      <c r="AR406" s="440"/>
    </row>
    <row r="407" spans="35:44" x14ac:dyDescent="0.2">
      <c r="AI407" s="107"/>
      <c r="AJ407" s="107"/>
      <c r="AK407" s="530"/>
      <c r="AL407" s="530"/>
      <c r="AM407" s="530"/>
      <c r="AQ407" s="440"/>
      <c r="AR407" s="440"/>
    </row>
    <row r="408" spans="35:44" x14ac:dyDescent="0.2">
      <c r="AI408" s="107"/>
      <c r="AJ408" s="107"/>
      <c r="AK408" s="530"/>
      <c r="AL408" s="530"/>
      <c r="AM408" s="530"/>
      <c r="AQ408" s="440"/>
      <c r="AR408" s="440"/>
    </row>
    <row r="409" spans="35:44" x14ac:dyDescent="0.2">
      <c r="AI409" s="107"/>
      <c r="AJ409" s="107"/>
      <c r="AK409" s="530"/>
      <c r="AL409" s="530"/>
      <c r="AM409" s="530"/>
      <c r="AQ409" s="440"/>
      <c r="AR409" s="440"/>
    </row>
    <row r="410" spans="35:44" x14ac:dyDescent="0.2">
      <c r="AI410" s="107"/>
      <c r="AJ410" s="107"/>
      <c r="AK410" s="530"/>
      <c r="AL410" s="530"/>
      <c r="AM410" s="530"/>
      <c r="AQ410" s="440"/>
      <c r="AR410" s="440"/>
    </row>
    <row r="411" spans="35:44" x14ac:dyDescent="0.2">
      <c r="AI411" s="107"/>
      <c r="AJ411" s="107"/>
      <c r="AK411" s="530"/>
      <c r="AL411" s="530"/>
      <c r="AM411" s="530"/>
      <c r="AQ411" s="440"/>
      <c r="AR411" s="440"/>
    </row>
    <row r="412" spans="35:44" x14ac:dyDescent="0.2">
      <c r="AI412" s="107"/>
      <c r="AJ412" s="107"/>
      <c r="AK412" s="530"/>
      <c r="AL412" s="530"/>
      <c r="AM412" s="530"/>
      <c r="AQ412" s="440"/>
      <c r="AR412" s="440"/>
    </row>
    <row r="413" spans="35:44" x14ac:dyDescent="0.2">
      <c r="AI413" s="107"/>
      <c r="AJ413" s="107"/>
      <c r="AK413" s="530"/>
      <c r="AL413" s="530"/>
      <c r="AM413" s="530"/>
      <c r="AQ413" s="440"/>
      <c r="AR413" s="440"/>
    </row>
    <row r="414" spans="35:44" x14ac:dyDescent="0.2">
      <c r="AI414" s="107"/>
      <c r="AJ414" s="107"/>
      <c r="AK414" s="530"/>
      <c r="AL414" s="530"/>
      <c r="AM414" s="530"/>
      <c r="AQ414" s="440"/>
      <c r="AR414" s="440"/>
    </row>
    <row r="415" spans="35:44" x14ac:dyDescent="0.2">
      <c r="AI415" s="107"/>
      <c r="AJ415" s="107"/>
      <c r="AK415" s="530"/>
      <c r="AL415" s="530"/>
      <c r="AM415" s="530"/>
      <c r="AQ415" s="440"/>
      <c r="AR415" s="440"/>
    </row>
    <row r="416" spans="35:44" x14ac:dyDescent="0.2">
      <c r="AI416" s="107"/>
      <c r="AJ416" s="107"/>
      <c r="AK416" s="530"/>
      <c r="AL416" s="530"/>
      <c r="AM416" s="530"/>
      <c r="AQ416" s="440"/>
      <c r="AR416" s="440"/>
    </row>
    <row r="417" spans="35:44" x14ac:dyDescent="0.2">
      <c r="AI417" s="107"/>
      <c r="AJ417" s="107"/>
      <c r="AK417" s="530"/>
      <c r="AL417" s="530"/>
      <c r="AM417" s="530"/>
      <c r="AQ417" s="440"/>
      <c r="AR417" s="440"/>
    </row>
    <row r="418" spans="35:44" x14ac:dyDescent="0.2">
      <c r="AI418" s="107"/>
      <c r="AJ418" s="107"/>
      <c r="AK418" s="530"/>
      <c r="AL418" s="530"/>
      <c r="AM418" s="530"/>
      <c r="AQ418" s="440"/>
      <c r="AR418" s="440"/>
    </row>
    <row r="419" spans="35:44" x14ac:dyDescent="0.2">
      <c r="AI419" s="107"/>
      <c r="AJ419" s="107"/>
      <c r="AK419" s="530"/>
      <c r="AL419" s="530"/>
      <c r="AM419" s="530"/>
      <c r="AQ419" s="440"/>
      <c r="AR419" s="440"/>
    </row>
    <row r="420" spans="35:44" x14ac:dyDescent="0.2">
      <c r="AI420" s="107"/>
      <c r="AJ420" s="107"/>
      <c r="AK420" s="530"/>
      <c r="AL420" s="530"/>
      <c r="AM420" s="530"/>
      <c r="AQ420" s="440"/>
      <c r="AR420" s="440"/>
    </row>
    <row r="421" spans="35:44" x14ac:dyDescent="0.2">
      <c r="AI421" s="107"/>
      <c r="AJ421" s="107"/>
      <c r="AK421" s="530"/>
      <c r="AL421" s="530"/>
      <c r="AM421" s="530"/>
      <c r="AQ421" s="440"/>
      <c r="AR421" s="440"/>
    </row>
    <row r="422" spans="35:44" x14ac:dyDescent="0.2">
      <c r="AI422" s="107"/>
      <c r="AJ422" s="107"/>
      <c r="AK422" s="530"/>
      <c r="AL422" s="530"/>
      <c r="AM422" s="530"/>
    </row>
    <row r="424" spans="35:44" x14ac:dyDescent="0.2">
      <c r="AI424" s="107"/>
      <c r="AJ424" s="107"/>
      <c r="AK424" s="530"/>
      <c r="AL424" s="530"/>
      <c r="AM424" s="530"/>
    </row>
    <row r="425" spans="35:44" x14ac:dyDescent="0.2">
      <c r="AI425" s="107"/>
      <c r="AJ425" s="107"/>
      <c r="AK425" s="530"/>
      <c r="AL425" s="530"/>
      <c r="AM425" s="530"/>
    </row>
    <row r="426" spans="35:44" x14ac:dyDescent="0.2">
      <c r="AI426" s="107"/>
      <c r="AJ426" s="107"/>
      <c r="AK426" s="530"/>
      <c r="AL426" s="530"/>
      <c r="AM426" s="530"/>
    </row>
    <row r="427" spans="35:44" x14ac:dyDescent="0.2">
      <c r="AI427" s="107"/>
      <c r="AJ427" s="107"/>
      <c r="AK427" s="530"/>
      <c r="AL427" s="530"/>
      <c r="AM427" s="530"/>
    </row>
    <row r="428" spans="35:44" x14ac:dyDescent="0.2">
      <c r="AI428" s="107"/>
      <c r="AJ428" s="107"/>
      <c r="AK428" s="530"/>
      <c r="AL428" s="530"/>
      <c r="AM428" s="530"/>
    </row>
    <row r="429" spans="35:44" x14ac:dyDescent="0.2">
      <c r="AI429" s="107"/>
      <c r="AJ429" s="107"/>
      <c r="AK429" s="530"/>
      <c r="AL429" s="530"/>
      <c r="AM429" s="530"/>
    </row>
    <row r="430" spans="35:44" x14ac:dyDescent="0.2">
      <c r="AI430" s="107"/>
      <c r="AJ430" s="107"/>
      <c r="AK430" s="530"/>
      <c r="AL430" s="530"/>
      <c r="AM430" s="530"/>
    </row>
    <row r="431" spans="35:44" x14ac:dyDescent="0.2">
      <c r="AI431" s="107"/>
      <c r="AJ431" s="107"/>
      <c r="AK431" s="530"/>
      <c r="AL431" s="530"/>
      <c r="AM431" s="530"/>
    </row>
    <row r="432" spans="35:44" x14ac:dyDescent="0.2">
      <c r="AI432" s="107"/>
      <c r="AJ432" s="107"/>
      <c r="AK432" s="530"/>
      <c r="AL432" s="530"/>
      <c r="AM432" s="530"/>
    </row>
    <row r="433" spans="35:39" x14ac:dyDescent="0.2">
      <c r="AI433" s="107"/>
      <c r="AJ433" s="107"/>
      <c r="AK433" s="530"/>
      <c r="AL433" s="530"/>
      <c r="AM433" s="530"/>
    </row>
    <row r="434" spans="35:39" x14ac:dyDescent="0.2">
      <c r="AI434" s="107"/>
      <c r="AJ434" s="107"/>
      <c r="AK434" s="530"/>
      <c r="AL434" s="530"/>
      <c r="AM434" s="530"/>
    </row>
    <row r="435" spans="35:39" x14ac:dyDescent="0.2">
      <c r="AI435" s="107"/>
      <c r="AJ435" s="107"/>
      <c r="AK435" s="530"/>
      <c r="AL435" s="530"/>
      <c r="AM435" s="530"/>
    </row>
    <row r="436" spans="35:39" x14ac:dyDescent="0.2">
      <c r="AI436" s="107"/>
      <c r="AJ436" s="107"/>
      <c r="AK436" s="530"/>
      <c r="AL436" s="530"/>
      <c r="AM436" s="530"/>
    </row>
    <row r="437" spans="35:39" x14ac:dyDescent="0.2">
      <c r="AI437" s="107"/>
      <c r="AJ437" s="107"/>
      <c r="AK437" s="530"/>
      <c r="AL437" s="530"/>
      <c r="AM437" s="530"/>
    </row>
    <row r="438" spans="35:39" x14ac:dyDescent="0.2">
      <c r="AI438" s="107"/>
      <c r="AJ438" s="107"/>
      <c r="AK438" s="530"/>
      <c r="AL438" s="530"/>
      <c r="AM438" s="530"/>
    </row>
    <row r="439" spans="35:39" x14ac:dyDescent="0.2">
      <c r="AI439" s="107"/>
      <c r="AJ439" s="107"/>
      <c r="AK439" s="530"/>
      <c r="AL439" s="530"/>
      <c r="AM439" s="530"/>
    </row>
    <row r="440" spans="35:39" x14ac:dyDescent="0.2">
      <c r="AI440" s="107"/>
      <c r="AJ440" s="107"/>
      <c r="AK440" s="530"/>
      <c r="AL440" s="530"/>
      <c r="AM440" s="530"/>
    </row>
    <row r="441" spans="35:39" x14ac:dyDescent="0.2">
      <c r="AI441" s="107"/>
      <c r="AJ441" s="107"/>
      <c r="AK441" s="530"/>
      <c r="AL441" s="530"/>
      <c r="AM441" s="530"/>
    </row>
    <row r="442" spans="35:39" x14ac:dyDescent="0.2">
      <c r="AI442" s="107"/>
      <c r="AJ442" s="107"/>
      <c r="AK442" s="530"/>
      <c r="AL442" s="530"/>
      <c r="AM442" s="530"/>
    </row>
    <row r="443" spans="35:39" x14ac:dyDescent="0.2">
      <c r="AI443" s="107"/>
      <c r="AJ443" s="107"/>
      <c r="AK443" s="530"/>
      <c r="AL443" s="530"/>
      <c r="AM443" s="530"/>
    </row>
    <row r="444" spans="35:39" x14ac:dyDescent="0.2">
      <c r="AI444" s="107"/>
      <c r="AJ444" s="107"/>
      <c r="AK444" s="530"/>
      <c r="AL444" s="530"/>
      <c r="AM444" s="530"/>
    </row>
    <row r="445" spans="35:39" x14ac:dyDescent="0.2">
      <c r="AI445" s="107"/>
      <c r="AJ445" s="107"/>
      <c r="AK445" s="530"/>
      <c r="AL445" s="530"/>
      <c r="AM445" s="530"/>
    </row>
    <row r="446" spans="35:39" x14ac:dyDescent="0.2">
      <c r="AI446" s="107"/>
      <c r="AJ446" s="107"/>
      <c r="AK446" s="530"/>
      <c r="AL446" s="530"/>
      <c r="AM446" s="530"/>
    </row>
    <row r="447" spans="35:39" x14ac:dyDescent="0.2">
      <c r="AI447" s="107"/>
      <c r="AJ447" s="107"/>
      <c r="AK447" s="530"/>
      <c r="AL447" s="530"/>
      <c r="AM447" s="530"/>
    </row>
    <row r="448" spans="35:39" x14ac:dyDescent="0.2">
      <c r="AI448" s="107"/>
      <c r="AJ448" s="107"/>
      <c r="AK448" s="530"/>
      <c r="AL448" s="530"/>
      <c r="AM448" s="530"/>
    </row>
    <row r="449" spans="35:39" x14ac:dyDescent="0.2">
      <c r="AI449" s="107"/>
      <c r="AJ449" s="107"/>
      <c r="AK449" s="530"/>
      <c r="AL449" s="530"/>
      <c r="AM449" s="530"/>
    </row>
    <row r="450" spans="35:39" x14ac:dyDescent="0.2">
      <c r="AI450" s="107"/>
      <c r="AJ450" s="107"/>
      <c r="AK450" s="530"/>
      <c r="AL450" s="530"/>
      <c r="AM450" s="530"/>
    </row>
    <row r="451" spans="35:39" x14ac:dyDescent="0.2">
      <c r="AI451" s="107"/>
      <c r="AJ451" s="107"/>
      <c r="AK451" s="530"/>
      <c r="AL451" s="530"/>
      <c r="AM451" s="530"/>
    </row>
    <row r="452" spans="35:39" x14ac:dyDescent="0.2">
      <c r="AI452" s="107"/>
      <c r="AJ452" s="107"/>
      <c r="AK452" s="530"/>
      <c r="AL452" s="530"/>
      <c r="AM452" s="530"/>
    </row>
    <row r="453" spans="35:39" x14ac:dyDescent="0.2">
      <c r="AI453" s="107"/>
      <c r="AJ453" s="107"/>
      <c r="AK453" s="530"/>
      <c r="AL453" s="530"/>
      <c r="AM453" s="530"/>
    </row>
    <row r="454" spans="35:39" x14ac:dyDescent="0.2">
      <c r="AI454" s="107"/>
      <c r="AJ454" s="107"/>
      <c r="AK454" s="530"/>
      <c r="AL454" s="530"/>
      <c r="AM454" s="530"/>
    </row>
    <row r="455" spans="35:39" x14ac:dyDescent="0.2">
      <c r="AI455" s="107"/>
      <c r="AJ455" s="107"/>
      <c r="AK455" s="530"/>
      <c r="AL455" s="530"/>
      <c r="AM455" s="530"/>
    </row>
    <row r="456" spans="35:39" x14ac:dyDescent="0.2">
      <c r="AI456" s="107"/>
      <c r="AJ456" s="107"/>
      <c r="AK456" s="530"/>
      <c r="AL456" s="530"/>
      <c r="AM456" s="530"/>
    </row>
    <row r="457" spans="35:39" x14ac:dyDescent="0.2">
      <c r="AI457" s="107"/>
      <c r="AJ457" s="107"/>
      <c r="AK457" s="530"/>
      <c r="AL457" s="530"/>
      <c r="AM457" s="530"/>
    </row>
    <row r="458" spans="35:39" x14ac:dyDescent="0.2">
      <c r="AI458" s="107"/>
      <c r="AJ458" s="107"/>
      <c r="AK458" s="530"/>
      <c r="AL458" s="530"/>
      <c r="AM458" s="530"/>
    </row>
    <row r="459" spans="35:39" x14ac:dyDescent="0.2">
      <c r="AI459" s="107"/>
      <c r="AJ459" s="107"/>
      <c r="AK459" s="530"/>
      <c r="AL459" s="530"/>
      <c r="AM459" s="530"/>
    </row>
    <row r="460" spans="35:39" x14ac:dyDescent="0.2">
      <c r="AI460" s="107"/>
      <c r="AJ460" s="107"/>
      <c r="AK460" s="530"/>
      <c r="AL460" s="530"/>
      <c r="AM460" s="530"/>
    </row>
    <row r="461" spans="35:39" x14ac:dyDescent="0.2">
      <c r="AI461" s="107"/>
      <c r="AJ461" s="107"/>
      <c r="AK461" s="530"/>
      <c r="AL461" s="530"/>
      <c r="AM461" s="530"/>
    </row>
    <row r="462" spans="35:39" x14ac:dyDescent="0.2">
      <c r="AI462" s="107"/>
      <c r="AJ462" s="107"/>
      <c r="AK462" s="530"/>
      <c r="AL462" s="530"/>
      <c r="AM462" s="530"/>
    </row>
    <row r="463" spans="35:39" x14ac:dyDescent="0.2">
      <c r="AI463" s="107"/>
      <c r="AJ463" s="107"/>
      <c r="AK463" s="530"/>
      <c r="AL463" s="530"/>
      <c r="AM463" s="530"/>
    </row>
    <row r="464" spans="35:39" x14ac:dyDescent="0.2">
      <c r="AI464" s="107"/>
      <c r="AJ464" s="107"/>
      <c r="AK464" s="530"/>
      <c r="AL464" s="530"/>
      <c r="AM464" s="530"/>
    </row>
    <row r="465" spans="35:39" x14ac:dyDescent="0.2">
      <c r="AI465" s="107"/>
      <c r="AJ465" s="107"/>
      <c r="AK465" s="530"/>
      <c r="AL465" s="530"/>
      <c r="AM465" s="530"/>
    </row>
    <row r="466" spans="35:39" x14ac:dyDescent="0.2">
      <c r="AI466" s="107"/>
      <c r="AJ466" s="107"/>
      <c r="AK466" s="530"/>
      <c r="AL466" s="530"/>
      <c r="AM466" s="530"/>
    </row>
    <row r="467" spans="35:39" x14ac:dyDescent="0.2">
      <c r="AI467" s="107"/>
      <c r="AJ467" s="107"/>
      <c r="AK467" s="530"/>
      <c r="AL467" s="530"/>
      <c r="AM467" s="530"/>
    </row>
    <row r="468" spans="35:39" x14ac:dyDescent="0.2">
      <c r="AI468" s="107"/>
      <c r="AJ468" s="107"/>
      <c r="AK468" s="530"/>
      <c r="AL468" s="530"/>
      <c r="AM468" s="530"/>
    </row>
    <row r="469" spans="35:39" x14ac:dyDescent="0.2">
      <c r="AI469" s="107"/>
      <c r="AJ469" s="107"/>
      <c r="AK469" s="530"/>
      <c r="AL469" s="530"/>
      <c r="AM469" s="530"/>
    </row>
    <row r="470" spans="35:39" x14ac:dyDescent="0.2">
      <c r="AI470" s="107"/>
      <c r="AJ470" s="107"/>
      <c r="AK470" s="530"/>
      <c r="AL470" s="530"/>
      <c r="AM470" s="530"/>
    </row>
    <row r="471" spans="35:39" x14ac:dyDescent="0.2">
      <c r="AI471" s="107"/>
      <c r="AJ471" s="107"/>
      <c r="AK471" s="530"/>
      <c r="AL471" s="530"/>
      <c r="AM471" s="530"/>
    </row>
    <row r="472" spans="35:39" x14ac:dyDescent="0.2">
      <c r="AI472" s="107"/>
      <c r="AJ472" s="107"/>
      <c r="AK472" s="530"/>
      <c r="AL472" s="530"/>
      <c r="AM472" s="530"/>
    </row>
    <row r="473" spans="35:39" x14ac:dyDescent="0.2">
      <c r="AI473" s="107"/>
      <c r="AJ473" s="107"/>
      <c r="AK473" s="530"/>
      <c r="AL473" s="530"/>
      <c r="AM473" s="530"/>
    </row>
    <row r="474" spans="35:39" x14ac:dyDescent="0.2">
      <c r="AI474" s="107"/>
      <c r="AJ474" s="107"/>
      <c r="AK474" s="530"/>
      <c r="AL474" s="530"/>
      <c r="AM474" s="530"/>
    </row>
    <row r="475" spans="35:39" x14ac:dyDescent="0.2">
      <c r="AI475" s="107"/>
      <c r="AJ475" s="107"/>
      <c r="AK475" s="530"/>
      <c r="AL475" s="530"/>
      <c r="AM475" s="530"/>
    </row>
    <row r="476" spans="35:39" x14ac:dyDescent="0.2">
      <c r="AI476" s="107"/>
      <c r="AJ476" s="107"/>
      <c r="AK476" s="530"/>
      <c r="AL476" s="530"/>
      <c r="AM476" s="530"/>
    </row>
    <row r="477" spans="35:39" x14ac:dyDescent="0.2">
      <c r="AI477" s="107"/>
      <c r="AJ477" s="107"/>
      <c r="AK477" s="530"/>
      <c r="AL477" s="530"/>
      <c r="AM477" s="530"/>
    </row>
    <row r="478" spans="35:39" x14ac:dyDescent="0.2">
      <c r="AI478" s="107"/>
      <c r="AJ478" s="107"/>
      <c r="AK478" s="530"/>
      <c r="AL478" s="530"/>
      <c r="AM478" s="530"/>
    </row>
    <row r="479" spans="35:39" x14ac:dyDescent="0.2">
      <c r="AI479" s="107"/>
      <c r="AJ479" s="107"/>
      <c r="AK479" s="530"/>
      <c r="AL479" s="530"/>
      <c r="AM479" s="530"/>
    </row>
    <row r="480" spans="35:39" x14ac:dyDescent="0.2">
      <c r="AI480" s="107"/>
      <c r="AJ480" s="107"/>
      <c r="AK480" s="530"/>
      <c r="AL480" s="530"/>
      <c r="AM480" s="530"/>
    </row>
    <row r="481" spans="35:39" x14ac:dyDescent="0.2">
      <c r="AI481" s="107"/>
      <c r="AJ481" s="107"/>
      <c r="AK481" s="530"/>
      <c r="AL481" s="530"/>
      <c r="AM481" s="530"/>
    </row>
    <row r="482" spans="35:39" x14ac:dyDescent="0.2">
      <c r="AI482" s="107"/>
      <c r="AJ482" s="107"/>
      <c r="AK482" s="530"/>
      <c r="AL482" s="530"/>
      <c r="AM482" s="530"/>
    </row>
    <row r="483" spans="35:39" x14ac:dyDescent="0.2">
      <c r="AI483" s="107"/>
      <c r="AJ483" s="107"/>
      <c r="AK483" s="530"/>
      <c r="AL483" s="530"/>
      <c r="AM483" s="530"/>
    </row>
    <row r="484" spans="35:39" x14ac:dyDescent="0.2">
      <c r="AI484" s="107"/>
      <c r="AJ484" s="107"/>
      <c r="AK484" s="530"/>
      <c r="AL484" s="530"/>
      <c r="AM484" s="530"/>
    </row>
    <row r="485" spans="35:39" x14ac:dyDescent="0.2">
      <c r="AI485" s="107"/>
      <c r="AJ485" s="107"/>
      <c r="AK485" s="530"/>
      <c r="AL485" s="530"/>
      <c r="AM485" s="530"/>
    </row>
    <row r="486" spans="35:39" x14ac:dyDescent="0.2">
      <c r="AI486" s="107"/>
      <c r="AJ486" s="107"/>
      <c r="AK486" s="530"/>
      <c r="AL486" s="530"/>
      <c r="AM486" s="530"/>
    </row>
    <row r="487" spans="35:39" x14ac:dyDescent="0.2">
      <c r="AI487" s="107"/>
      <c r="AJ487" s="107"/>
      <c r="AK487" s="530"/>
      <c r="AL487" s="530"/>
      <c r="AM487" s="530"/>
    </row>
    <row r="488" spans="35:39" x14ac:dyDescent="0.2">
      <c r="AI488" s="107"/>
      <c r="AJ488" s="107"/>
      <c r="AK488" s="530"/>
      <c r="AL488" s="530"/>
      <c r="AM488" s="530"/>
    </row>
    <row r="489" spans="35:39" x14ac:dyDescent="0.2">
      <c r="AI489" s="107"/>
      <c r="AJ489" s="107"/>
      <c r="AK489" s="530"/>
      <c r="AL489" s="530"/>
      <c r="AM489" s="530"/>
    </row>
    <row r="490" spans="35:39" x14ac:dyDescent="0.2">
      <c r="AI490" s="107"/>
      <c r="AJ490" s="107"/>
      <c r="AK490" s="530"/>
      <c r="AL490" s="530"/>
      <c r="AM490" s="530"/>
    </row>
    <row r="491" spans="35:39" x14ac:dyDescent="0.2">
      <c r="AI491" s="107"/>
      <c r="AJ491" s="107"/>
      <c r="AK491" s="530"/>
      <c r="AL491" s="530"/>
      <c r="AM491" s="530"/>
    </row>
    <row r="492" spans="35:39" x14ac:dyDescent="0.2">
      <c r="AI492" s="107"/>
      <c r="AJ492" s="107"/>
      <c r="AK492" s="530"/>
      <c r="AL492" s="530"/>
      <c r="AM492" s="530"/>
    </row>
    <row r="493" spans="35:39" x14ac:dyDescent="0.2">
      <c r="AI493" s="107"/>
      <c r="AJ493" s="107"/>
      <c r="AK493" s="530"/>
      <c r="AL493" s="530"/>
      <c r="AM493" s="530"/>
    </row>
    <row r="494" spans="35:39" x14ac:dyDescent="0.2">
      <c r="AI494" s="107"/>
      <c r="AJ494" s="107"/>
      <c r="AK494" s="530"/>
      <c r="AL494" s="530"/>
      <c r="AM494" s="530"/>
    </row>
    <row r="495" spans="35:39" x14ac:dyDescent="0.2">
      <c r="AI495" s="107"/>
      <c r="AJ495" s="107"/>
      <c r="AK495" s="530"/>
      <c r="AL495" s="530"/>
      <c r="AM495" s="530"/>
    </row>
    <row r="496" spans="35:39" x14ac:dyDescent="0.2">
      <c r="AI496" s="107"/>
      <c r="AJ496" s="107"/>
      <c r="AK496" s="530"/>
      <c r="AL496" s="530"/>
      <c r="AM496" s="530"/>
    </row>
    <row r="497" spans="35:39" x14ac:dyDescent="0.2">
      <c r="AI497" s="107"/>
      <c r="AJ497" s="107"/>
      <c r="AK497" s="530"/>
      <c r="AL497" s="530"/>
      <c r="AM497" s="530"/>
    </row>
    <row r="498" spans="35:39" x14ac:dyDescent="0.2">
      <c r="AI498" s="107"/>
      <c r="AJ498" s="107"/>
      <c r="AK498" s="530"/>
      <c r="AL498" s="530"/>
      <c r="AM498" s="530"/>
    </row>
    <row r="499" spans="35:39" x14ac:dyDescent="0.2">
      <c r="AI499" s="107"/>
      <c r="AJ499" s="107"/>
      <c r="AK499" s="530"/>
      <c r="AL499" s="530"/>
      <c r="AM499" s="530"/>
    </row>
    <row r="500" spans="35:39" x14ac:dyDescent="0.2">
      <c r="AI500" s="107"/>
      <c r="AJ500" s="107"/>
      <c r="AK500" s="530"/>
      <c r="AL500" s="530"/>
      <c r="AM500" s="530"/>
    </row>
    <row r="501" spans="35:39" x14ac:dyDescent="0.2">
      <c r="AI501" s="107"/>
      <c r="AJ501" s="107"/>
      <c r="AK501" s="530"/>
      <c r="AL501" s="530"/>
      <c r="AM501" s="530"/>
    </row>
    <row r="502" spans="35:39" x14ac:dyDescent="0.2">
      <c r="AI502" s="107"/>
      <c r="AJ502" s="107"/>
      <c r="AK502" s="530"/>
      <c r="AL502" s="530"/>
      <c r="AM502" s="530"/>
    </row>
    <row r="503" spans="35:39" x14ac:dyDescent="0.2">
      <c r="AI503" s="107"/>
      <c r="AJ503" s="107"/>
      <c r="AK503" s="530"/>
      <c r="AL503" s="530"/>
      <c r="AM503" s="530"/>
    </row>
    <row r="504" spans="35:39" x14ac:dyDescent="0.2">
      <c r="AI504" s="107"/>
      <c r="AJ504" s="107"/>
      <c r="AK504" s="530"/>
      <c r="AL504" s="530"/>
      <c r="AM504" s="530"/>
    </row>
    <row r="505" spans="35:39" x14ac:dyDescent="0.2">
      <c r="AI505" s="107"/>
      <c r="AJ505" s="107"/>
      <c r="AK505" s="530"/>
      <c r="AL505" s="530"/>
      <c r="AM505" s="530"/>
    </row>
    <row r="506" spans="35:39" x14ac:dyDescent="0.2">
      <c r="AI506" s="107"/>
      <c r="AJ506" s="107"/>
      <c r="AK506" s="530"/>
      <c r="AL506" s="530"/>
      <c r="AM506" s="530"/>
    </row>
    <row r="507" spans="35:39" x14ac:dyDescent="0.2">
      <c r="AI507" s="107"/>
      <c r="AJ507" s="107"/>
      <c r="AK507" s="530"/>
      <c r="AL507" s="530"/>
      <c r="AM507" s="530"/>
    </row>
    <row r="508" spans="35:39" x14ac:dyDescent="0.2">
      <c r="AI508" s="107"/>
      <c r="AJ508" s="107"/>
      <c r="AK508" s="530"/>
      <c r="AL508" s="530"/>
      <c r="AM508" s="530"/>
    </row>
    <row r="509" spans="35:39" x14ac:dyDescent="0.2">
      <c r="AI509" s="107"/>
      <c r="AJ509" s="107"/>
      <c r="AK509" s="530"/>
      <c r="AL509" s="530"/>
      <c r="AM509" s="530"/>
    </row>
    <row r="510" spans="35:39" x14ac:dyDescent="0.2">
      <c r="AI510" s="107"/>
      <c r="AJ510" s="107"/>
      <c r="AK510" s="530"/>
      <c r="AL510" s="530"/>
      <c r="AM510" s="530"/>
    </row>
    <row r="511" spans="35:39" x14ac:dyDescent="0.2">
      <c r="AI511" s="107"/>
      <c r="AJ511" s="107"/>
      <c r="AK511" s="530"/>
      <c r="AL511" s="530"/>
      <c r="AM511" s="530"/>
    </row>
    <row r="512" spans="35:39" x14ac:dyDescent="0.2">
      <c r="AI512" s="107"/>
      <c r="AJ512" s="107"/>
      <c r="AK512" s="530"/>
      <c r="AL512" s="530"/>
      <c r="AM512" s="530"/>
    </row>
    <row r="513" spans="35:39" x14ac:dyDescent="0.2">
      <c r="AI513" s="107"/>
      <c r="AJ513" s="107"/>
      <c r="AK513" s="530"/>
      <c r="AL513" s="530"/>
      <c r="AM513" s="530"/>
    </row>
    <row r="514" spans="35:39" x14ac:dyDescent="0.2">
      <c r="AI514" s="107"/>
      <c r="AJ514" s="107"/>
      <c r="AK514" s="530"/>
      <c r="AL514" s="530"/>
      <c r="AM514" s="530"/>
    </row>
    <row r="515" spans="35:39" x14ac:dyDescent="0.2">
      <c r="AI515" s="107"/>
      <c r="AJ515" s="107"/>
      <c r="AK515" s="530"/>
      <c r="AL515" s="530"/>
      <c r="AM515" s="530"/>
    </row>
    <row r="516" spans="35:39" x14ac:dyDescent="0.2">
      <c r="AI516" s="107"/>
      <c r="AJ516" s="107"/>
      <c r="AK516" s="530"/>
      <c r="AL516" s="530"/>
      <c r="AM516" s="530"/>
    </row>
    <row r="517" spans="35:39" x14ac:dyDescent="0.2">
      <c r="AI517" s="107"/>
      <c r="AJ517" s="107"/>
      <c r="AK517" s="530"/>
      <c r="AL517" s="530"/>
      <c r="AM517" s="530"/>
    </row>
    <row r="518" spans="35:39" x14ac:dyDescent="0.2">
      <c r="AI518" s="107"/>
      <c r="AJ518" s="107"/>
      <c r="AK518" s="530"/>
      <c r="AL518" s="530"/>
      <c r="AM518" s="530"/>
    </row>
    <row r="519" spans="35:39" x14ac:dyDescent="0.2">
      <c r="AI519" s="107"/>
      <c r="AJ519" s="107"/>
      <c r="AK519" s="530"/>
      <c r="AL519" s="530"/>
      <c r="AM519" s="530"/>
    </row>
    <row r="520" spans="35:39" x14ac:dyDescent="0.2">
      <c r="AI520" s="107"/>
      <c r="AJ520" s="107"/>
      <c r="AK520" s="530"/>
      <c r="AL520" s="530"/>
      <c r="AM520" s="530"/>
    </row>
    <row r="521" spans="35:39" x14ac:dyDescent="0.2">
      <c r="AI521" s="107"/>
      <c r="AJ521" s="107"/>
      <c r="AK521" s="530"/>
      <c r="AL521" s="530"/>
      <c r="AM521" s="530"/>
    </row>
    <row r="522" spans="35:39" x14ac:dyDescent="0.2">
      <c r="AI522" s="107"/>
      <c r="AJ522" s="107"/>
      <c r="AK522" s="530"/>
      <c r="AL522" s="530"/>
      <c r="AM522" s="530"/>
    </row>
    <row r="523" spans="35:39" x14ac:dyDescent="0.2">
      <c r="AI523" s="107"/>
      <c r="AJ523" s="107"/>
      <c r="AK523" s="530"/>
      <c r="AL523" s="530"/>
      <c r="AM523" s="530"/>
    </row>
    <row r="524" spans="35:39" x14ac:dyDescent="0.2">
      <c r="AI524" s="107"/>
      <c r="AJ524" s="107"/>
      <c r="AK524" s="530"/>
      <c r="AL524" s="530"/>
      <c r="AM524" s="530"/>
    </row>
    <row r="525" spans="35:39" x14ac:dyDescent="0.2">
      <c r="AI525" s="107"/>
      <c r="AJ525" s="107"/>
      <c r="AK525" s="530"/>
      <c r="AL525" s="530"/>
      <c r="AM525" s="530"/>
    </row>
    <row r="526" spans="35:39" x14ac:dyDescent="0.2">
      <c r="AI526" s="107"/>
      <c r="AJ526" s="107"/>
      <c r="AK526" s="530"/>
      <c r="AL526" s="530"/>
      <c r="AM526" s="530"/>
    </row>
    <row r="527" spans="35:39" x14ac:dyDescent="0.2">
      <c r="AI527" s="107"/>
      <c r="AJ527" s="107"/>
      <c r="AK527" s="530"/>
      <c r="AL527" s="530"/>
      <c r="AM527" s="530"/>
    </row>
    <row r="528" spans="35:39" x14ac:dyDescent="0.2">
      <c r="AI528" s="107"/>
      <c r="AJ528" s="107"/>
      <c r="AK528" s="530"/>
      <c r="AL528" s="530"/>
      <c r="AM528" s="530"/>
    </row>
    <row r="529" spans="35:39" x14ac:dyDescent="0.2">
      <c r="AI529" s="107"/>
      <c r="AJ529" s="107"/>
      <c r="AK529" s="530"/>
      <c r="AL529" s="530"/>
      <c r="AM529" s="530"/>
    </row>
    <row r="530" spans="35:39" x14ac:dyDescent="0.2">
      <c r="AI530" s="107"/>
      <c r="AJ530" s="107"/>
      <c r="AK530" s="530"/>
      <c r="AL530" s="530"/>
      <c r="AM530" s="530"/>
    </row>
    <row r="531" spans="35:39" x14ac:dyDescent="0.2">
      <c r="AI531" s="107"/>
      <c r="AJ531" s="107"/>
      <c r="AK531" s="530"/>
      <c r="AL531" s="530"/>
      <c r="AM531" s="530"/>
    </row>
    <row r="532" spans="35:39" x14ac:dyDescent="0.2">
      <c r="AI532" s="107"/>
      <c r="AJ532" s="107"/>
      <c r="AK532" s="530"/>
      <c r="AL532" s="530"/>
      <c r="AM532" s="530"/>
    </row>
    <row r="533" spans="35:39" x14ac:dyDescent="0.2">
      <c r="AI533" s="107"/>
      <c r="AJ533" s="107"/>
      <c r="AK533" s="530"/>
      <c r="AL533" s="530"/>
      <c r="AM533" s="530"/>
    </row>
    <row r="534" spans="35:39" x14ac:dyDescent="0.2">
      <c r="AI534" s="107"/>
      <c r="AJ534" s="107"/>
      <c r="AK534" s="530"/>
      <c r="AL534" s="530"/>
      <c r="AM534" s="530"/>
    </row>
    <row r="535" spans="35:39" x14ac:dyDescent="0.2">
      <c r="AI535" s="107"/>
      <c r="AJ535" s="107"/>
      <c r="AK535" s="530"/>
      <c r="AL535" s="530"/>
      <c r="AM535" s="530"/>
    </row>
    <row r="536" spans="35:39" x14ac:dyDescent="0.2">
      <c r="AI536" s="107"/>
      <c r="AJ536" s="107"/>
      <c r="AK536" s="530"/>
      <c r="AL536" s="530"/>
      <c r="AM536" s="530"/>
    </row>
    <row r="537" spans="35:39" x14ac:dyDescent="0.2">
      <c r="AI537" s="107"/>
      <c r="AJ537" s="107"/>
      <c r="AK537" s="530"/>
      <c r="AL537" s="530"/>
      <c r="AM537" s="530"/>
    </row>
    <row r="538" spans="35:39" x14ac:dyDescent="0.2">
      <c r="AI538" s="107"/>
      <c r="AJ538" s="107"/>
      <c r="AK538" s="530"/>
      <c r="AL538" s="530"/>
      <c r="AM538" s="530"/>
    </row>
    <row r="539" spans="35:39" x14ac:dyDescent="0.2">
      <c r="AI539" s="107"/>
      <c r="AJ539" s="107"/>
      <c r="AK539" s="530"/>
      <c r="AL539" s="530"/>
      <c r="AM539" s="530"/>
    </row>
    <row r="540" spans="35:39" x14ac:dyDescent="0.2">
      <c r="AI540" s="107"/>
      <c r="AJ540" s="107"/>
      <c r="AK540" s="530"/>
      <c r="AL540" s="530"/>
      <c r="AM540" s="530"/>
    </row>
    <row r="541" spans="35:39" x14ac:dyDescent="0.2">
      <c r="AI541" s="107"/>
      <c r="AJ541" s="107"/>
      <c r="AK541" s="530"/>
      <c r="AL541" s="530"/>
      <c r="AM541" s="530"/>
    </row>
    <row r="542" spans="35:39" x14ac:dyDescent="0.2">
      <c r="AI542" s="107"/>
      <c r="AJ542" s="107"/>
      <c r="AK542" s="530"/>
      <c r="AL542" s="530"/>
      <c r="AM542" s="530"/>
    </row>
    <row r="543" spans="35:39" x14ac:dyDescent="0.2">
      <c r="AI543" s="107"/>
      <c r="AJ543" s="107"/>
      <c r="AK543" s="530"/>
      <c r="AL543" s="530"/>
      <c r="AM543" s="530"/>
    </row>
    <row r="544" spans="35:39" x14ac:dyDescent="0.2">
      <c r="AI544" s="107"/>
      <c r="AJ544" s="107"/>
      <c r="AK544" s="530"/>
      <c r="AL544" s="530"/>
      <c r="AM544" s="530"/>
    </row>
    <row r="545" spans="35:39" x14ac:dyDescent="0.2">
      <c r="AI545" s="107"/>
      <c r="AJ545" s="107"/>
      <c r="AK545" s="530"/>
      <c r="AL545" s="530"/>
      <c r="AM545" s="530"/>
    </row>
    <row r="546" spans="35:39" x14ac:dyDescent="0.2">
      <c r="AI546" s="107"/>
      <c r="AJ546" s="107"/>
      <c r="AK546" s="530"/>
      <c r="AL546" s="530"/>
      <c r="AM546" s="530"/>
    </row>
    <row r="547" spans="35:39" x14ac:dyDescent="0.2">
      <c r="AI547" s="107"/>
      <c r="AJ547" s="107"/>
      <c r="AK547" s="530"/>
      <c r="AL547" s="530"/>
      <c r="AM547" s="530"/>
    </row>
    <row r="548" spans="35:39" x14ac:dyDescent="0.2">
      <c r="AI548" s="107"/>
      <c r="AJ548" s="107"/>
      <c r="AK548" s="530"/>
      <c r="AL548" s="530"/>
      <c r="AM548" s="530"/>
    </row>
    <row r="549" spans="35:39" x14ac:dyDescent="0.2">
      <c r="AI549" s="107"/>
      <c r="AJ549" s="107"/>
      <c r="AK549" s="530"/>
      <c r="AL549" s="530"/>
      <c r="AM549" s="530"/>
    </row>
    <row r="550" spans="35:39" x14ac:dyDescent="0.2">
      <c r="AI550" s="107"/>
      <c r="AJ550" s="107"/>
      <c r="AK550" s="530"/>
      <c r="AL550" s="530"/>
      <c r="AM550" s="530"/>
    </row>
    <row r="551" spans="35:39" x14ac:dyDescent="0.2">
      <c r="AI551" s="107"/>
      <c r="AJ551" s="107"/>
      <c r="AK551" s="530"/>
      <c r="AL551" s="530"/>
      <c r="AM551" s="530"/>
    </row>
    <row r="552" spans="35:39" x14ac:dyDescent="0.2">
      <c r="AI552" s="107"/>
      <c r="AJ552" s="107"/>
      <c r="AK552" s="530"/>
      <c r="AL552" s="530"/>
      <c r="AM552" s="530"/>
    </row>
    <row r="553" spans="35:39" x14ac:dyDescent="0.2">
      <c r="AI553" s="107"/>
      <c r="AJ553" s="107"/>
      <c r="AK553" s="530"/>
      <c r="AL553" s="530"/>
      <c r="AM553" s="530"/>
    </row>
    <row r="554" spans="35:39" x14ac:dyDescent="0.2">
      <c r="AI554" s="107"/>
      <c r="AJ554" s="107"/>
      <c r="AK554" s="530"/>
      <c r="AL554" s="530"/>
      <c r="AM554" s="530"/>
    </row>
    <row r="555" spans="35:39" x14ac:dyDescent="0.2">
      <c r="AI555" s="107"/>
      <c r="AJ555" s="107"/>
      <c r="AK555" s="530"/>
      <c r="AL555" s="530"/>
      <c r="AM555" s="530"/>
    </row>
    <row r="556" spans="35:39" x14ac:dyDescent="0.2">
      <c r="AI556" s="107"/>
      <c r="AJ556" s="107"/>
      <c r="AK556" s="530"/>
      <c r="AL556" s="530"/>
      <c r="AM556" s="530"/>
    </row>
    <row r="557" spans="35:39" x14ac:dyDescent="0.2">
      <c r="AI557" s="107"/>
      <c r="AJ557" s="107"/>
      <c r="AK557" s="530"/>
      <c r="AL557" s="530"/>
      <c r="AM557" s="530"/>
    </row>
    <row r="558" spans="35:39" x14ac:dyDescent="0.2">
      <c r="AI558" s="107"/>
      <c r="AJ558" s="107"/>
      <c r="AK558" s="530"/>
      <c r="AL558" s="530"/>
      <c r="AM558" s="530"/>
    </row>
    <row r="559" spans="35:39" x14ac:dyDescent="0.2">
      <c r="AI559" s="107"/>
      <c r="AJ559" s="107"/>
      <c r="AK559" s="530"/>
      <c r="AL559" s="530"/>
      <c r="AM559" s="530"/>
    </row>
    <row r="560" spans="35:39" x14ac:dyDescent="0.2">
      <c r="AI560" s="107"/>
      <c r="AJ560" s="107"/>
      <c r="AK560" s="530"/>
      <c r="AL560" s="530"/>
      <c r="AM560" s="530"/>
    </row>
    <row r="561" spans="35:39" x14ac:dyDescent="0.2">
      <c r="AI561" s="107"/>
      <c r="AJ561" s="107"/>
      <c r="AK561" s="530"/>
      <c r="AL561" s="530"/>
      <c r="AM561" s="530"/>
    </row>
    <row r="562" spans="35:39" x14ac:dyDescent="0.2">
      <c r="AI562" s="107"/>
      <c r="AJ562" s="107"/>
      <c r="AK562" s="530"/>
      <c r="AL562" s="530"/>
      <c r="AM562" s="530"/>
    </row>
    <row r="563" spans="35:39" x14ac:dyDescent="0.2">
      <c r="AI563" s="107"/>
      <c r="AJ563" s="107"/>
      <c r="AK563" s="530"/>
      <c r="AL563" s="530"/>
      <c r="AM563" s="530"/>
    </row>
    <row r="564" spans="35:39" x14ac:dyDescent="0.2">
      <c r="AI564" s="107"/>
      <c r="AJ564" s="107"/>
      <c r="AK564" s="530"/>
      <c r="AL564" s="530"/>
      <c r="AM564" s="530"/>
    </row>
    <row r="565" spans="35:39" x14ac:dyDescent="0.2">
      <c r="AI565" s="107"/>
      <c r="AJ565" s="107"/>
      <c r="AK565" s="530"/>
      <c r="AL565" s="530"/>
      <c r="AM565" s="530"/>
    </row>
    <row r="566" spans="35:39" x14ac:dyDescent="0.2">
      <c r="AI566" s="107"/>
      <c r="AJ566" s="107"/>
      <c r="AK566" s="530"/>
      <c r="AL566" s="530"/>
      <c r="AM566" s="530"/>
    </row>
    <row r="567" spans="35:39" x14ac:dyDescent="0.2">
      <c r="AI567" s="107"/>
      <c r="AJ567" s="107"/>
      <c r="AK567" s="530"/>
      <c r="AL567" s="530"/>
      <c r="AM567" s="530"/>
    </row>
    <row r="568" spans="35:39" x14ac:dyDescent="0.2">
      <c r="AI568" s="107"/>
      <c r="AJ568" s="107"/>
      <c r="AK568" s="530"/>
      <c r="AL568" s="530"/>
      <c r="AM568" s="530"/>
    </row>
    <row r="569" spans="35:39" x14ac:dyDescent="0.2">
      <c r="AI569" s="107"/>
      <c r="AJ569" s="107"/>
      <c r="AK569" s="530"/>
      <c r="AL569" s="530"/>
      <c r="AM569" s="530"/>
    </row>
    <row r="570" spans="35:39" x14ac:dyDescent="0.2">
      <c r="AI570" s="107"/>
      <c r="AJ570" s="107"/>
      <c r="AK570" s="530"/>
      <c r="AL570" s="530"/>
      <c r="AM570" s="530"/>
    </row>
    <row r="571" spans="35:39" x14ac:dyDescent="0.2">
      <c r="AI571" s="107"/>
      <c r="AJ571" s="107"/>
      <c r="AK571" s="530"/>
      <c r="AL571" s="530"/>
      <c r="AM571" s="530"/>
    </row>
    <row r="572" spans="35:39" x14ac:dyDescent="0.2">
      <c r="AI572" s="107"/>
      <c r="AJ572" s="107"/>
      <c r="AK572" s="530"/>
      <c r="AL572" s="530"/>
      <c r="AM572" s="530"/>
    </row>
    <row r="573" spans="35:39" x14ac:dyDescent="0.2">
      <c r="AI573" s="107"/>
      <c r="AJ573" s="107"/>
      <c r="AK573" s="530"/>
      <c r="AL573" s="530"/>
      <c r="AM573" s="530"/>
    </row>
    <row r="574" spans="35:39" x14ac:dyDescent="0.2">
      <c r="AI574" s="107"/>
      <c r="AJ574" s="107"/>
      <c r="AK574" s="530"/>
      <c r="AL574" s="530"/>
      <c r="AM574" s="530"/>
    </row>
    <row r="575" spans="35:39" x14ac:dyDescent="0.2">
      <c r="AI575" s="107"/>
      <c r="AJ575" s="107"/>
      <c r="AK575" s="530"/>
      <c r="AL575" s="530"/>
      <c r="AM575" s="530"/>
    </row>
    <row r="576" spans="35:39" x14ac:dyDescent="0.2">
      <c r="AI576" s="107"/>
      <c r="AJ576" s="107"/>
      <c r="AK576" s="530"/>
      <c r="AL576" s="530"/>
      <c r="AM576" s="530"/>
    </row>
    <row r="577" spans="35:39" x14ac:dyDescent="0.2">
      <c r="AI577" s="107"/>
      <c r="AJ577" s="107"/>
      <c r="AK577" s="530"/>
      <c r="AL577" s="530"/>
      <c r="AM577" s="530"/>
    </row>
    <row r="578" spans="35:39" x14ac:dyDescent="0.2">
      <c r="AI578" s="107"/>
      <c r="AJ578" s="107"/>
      <c r="AK578" s="530"/>
      <c r="AL578" s="530"/>
      <c r="AM578" s="530"/>
    </row>
    <row r="579" spans="35:39" x14ac:dyDescent="0.2">
      <c r="AI579" s="107"/>
      <c r="AJ579" s="107"/>
      <c r="AK579" s="530"/>
      <c r="AL579" s="530"/>
      <c r="AM579" s="530"/>
    </row>
    <row r="580" spans="35:39" x14ac:dyDescent="0.2">
      <c r="AI580" s="107"/>
      <c r="AJ580" s="107"/>
      <c r="AK580" s="530"/>
      <c r="AL580" s="530"/>
      <c r="AM580" s="530"/>
    </row>
    <row r="581" spans="35:39" x14ac:dyDescent="0.2">
      <c r="AI581" s="107"/>
      <c r="AJ581" s="107"/>
      <c r="AK581" s="530"/>
      <c r="AL581" s="530"/>
      <c r="AM581" s="530"/>
    </row>
    <row r="582" spans="35:39" x14ac:dyDescent="0.2">
      <c r="AI582" s="107"/>
      <c r="AJ582" s="107"/>
      <c r="AK582" s="530"/>
      <c r="AL582" s="530"/>
      <c r="AM582" s="530"/>
    </row>
    <row r="583" spans="35:39" x14ac:dyDescent="0.2">
      <c r="AI583" s="107"/>
      <c r="AJ583" s="107"/>
      <c r="AK583" s="530"/>
      <c r="AL583" s="530"/>
      <c r="AM583" s="530"/>
    </row>
    <row r="584" spans="35:39" x14ac:dyDescent="0.2">
      <c r="AI584" s="107"/>
      <c r="AJ584" s="107"/>
      <c r="AK584" s="530"/>
      <c r="AL584" s="530"/>
      <c r="AM584" s="530"/>
    </row>
    <row r="585" spans="35:39" x14ac:dyDescent="0.2">
      <c r="AI585" s="107"/>
      <c r="AJ585" s="107"/>
      <c r="AK585" s="530"/>
      <c r="AL585" s="530"/>
      <c r="AM585" s="530"/>
    </row>
    <row r="586" spans="35:39" x14ac:dyDescent="0.2">
      <c r="AI586" s="107"/>
      <c r="AJ586" s="107"/>
      <c r="AK586" s="530"/>
      <c r="AL586" s="530"/>
      <c r="AM586" s="530"/>
    </row>
    <row r="587" spans="35:39" x14ac:dyDescent="0.2">
      <c r="AI587" s="107"/>
      <c r="AJ587" s="107"/>
      <c r="AK587" s="530"/>
      <c r="AL587" s="530"/>
      <c r="AM587" s="530"/>
    </row>
    <row r="588" spans="35:39" x14ac:dyDescent="0.2">
      <c r="AI588" s="107"/>
      <c r="AJ588" s="107"/>
      <c r="AK588" s="530"/>
      <c r="AL588" s="530"/>
      <c r="AM588" s="530"/>
    </row>
    <row r="589" spans="35:39" x14ac:dyDescent="0.2">
      <c r="AI589" s="107"/>
      <c r="AJ589" s="107"/>
      <c r="AK589" s="530"/>
      <c r="AL589" s="530"/>
      <c r="AM589" s="530"/>
    </row>
    <row r="590" spans="35:39" x14ac:dyDescent="0.2">
      <c r="AI590" s="107"/>
      <c r="AJ590" s="107"/>
      <c r="AK590" s="530"/>
      <c r="AL590" s="530"/>
      <c r="AM590" s="530"/>
    </row>
    <row r="591" spans="35:39" x14ac:dyDescent="0.2">
      <c r="AI591" s="107"/>
      <c r="AJ591" s="107"/>
      <c r="AK591" s="530"/>
      <c r="AL591" s="530"/>
      <c r="AM591" s="530"/>
    </row>
    <row r="592" spans="35:39" x14ac:dyDescent="0.2">
      <c r="AI592" s="107"/>
      <c r="AJ592" s="107"/>
      <c r="AK592" s="530"/>
      <c r="AL592" s="530"/>
      <c r="AM592" s="530"/>
    </row>
    <row r="593" spans="35:39" x14ac:dyDescent="0.2">
      <c r="AI593" s="107"/>
      <c r="AJ593" s="107"/>
      <c r="AK593" s="530"/>
      <c r="AL593" s="530"/>
      <c r="AM593" s="530"/>
    </row>
    <row r="594" spans="35:39" x14ac:dyDescent="0.2">
      <c r="AI594" s="107"/>
      <c r="AJ594" s="107"/>
      <c r="AK594" s="530"/>
      <c r="AL594" s="530"/>
      <c r="AM594" s="530"/>
    </row>
    <row r="595" spans="35:39" x14ac:dyDescent="0.2">
      <c r="AI595" s="107"/>
      <c r="AJ595" s="107"/>
      <c r="AK595" s="530"/>
      <c r="AL595" s="530"/>
      <c r="AM595" s="530"/>
    </row>
    <row r="596" spans="35:39" x14ac:dyDescent="0.2">
      <c r="AI596" s="107"/>
      <c r="AJ596" s="107"/>
      <c r="AK596" s="530"/>
      <c r="AL596" s="530"/>
      <c r="AM596" s="530"/>
    </row>
    <row r="597" spans="35:39" x14ac:dyDescent="0.2">
      <c r="AI597" s="107"/>
      <c r="AJ597" s="107"/>
      <c r="AK597" s="530"/>
      <c r="AL597" s="530"/>
      <c r="AM597" s="530"/>
    </row>
    <row r="598" spans="35:39" x14ac:dyDescent="0.2">
      <c r="AI598" s="107"/>
      <c r="AJ598" s="107"/>
      <c r="AK598" s="530"/>
      <c r="AL598" s="530"/>
      <c r="AM598" s="530"/>
    </row>
    <row r="599" spans="35:39" x14ac:dyDescent="0.2">
      <c r="AI599" s="107"/>
      <c r="AJ599" s="107"/>
      <c r="AK599" s="530"/>
      <c r="AL599" s="530"/>
      <c r="AM599" s="530"/>
    </row>
    <row r="600" spans="35:39" x14ac:dyDescent="0.2">
      <c r="AI600" s="107"/>
      <c r="AJ600" s="107"/>
      <c r="AK600" s="530"/>
      <c r="AL600" s="530"/>
      <c r="AM600" s="530"/>
    </row>
    <row r="601" spans="35:39" x14ac:dyDescent="0.2">
      <c r="AI601" s="107"/>
      <c r="AJ601" s="107"/>
      <c r="AK601" s="530"/>
      <c r="AL601" s="530"/>
      <c r="AM601" s="530"/>
    </row>
    <row r="602" spans="35:39" x14ac:dyDescent="0.2">
      <c r="AI602" s="107"/>
      <c r="AJ602" s="107"/>
      <c r="AK602" s="530"/>
      <c r="AL602" s="530"/>
      <c r="AM602" s="530"/>
    </row>
    <row r="603" spans="35:39" x14ac:dyDescent="0.2">
      <c r="AI603" s="107"/>
      <c r="AJ603" s="107"/>
      <c r="AK603" s="530"/>
      <c r="AL603" s="530"/>
      <c r="AM603" s="530"/>
    </row>
    <row r="604" spans="35:39" x14ac:dyDescent="0.2">
      <c r="AI604" s="107"/>
      <c r="AJ604" s="107"/>
      <c r="AK604" s="530"/>
      <c r="AL604" s="530"/>
      <c r="AM604" s="530"/>
    </row>
    <row r="605" spans="35:39" x14ac:dyDescent="0.2">
      <c r="AI605" s="107"/>
      <c r="AJ605" s="107"/>
      <c r="AK605" s="530"/>
      <c r="AL605" s="530"/>
      <c r="AM605" s="530"/>
    </row>
    <row r="606" spans="35:39" x14ac:dyDescent="0.2">
      <c r="AI606" s="107"/>
      <c r="AJ606" s="107"/>
      <c r="AK606" s="530"/>
      <c r="AL606" s="530"/>
      <c r="AM606" s="530"/>
    </row>
    <row r="607" spans="35:39" x14ac:dyDescent="0.2">
      <c r="AI607" s="107"/>
      <c r="AJ607" s="107"/>
      <c r="AK607" s="530"/>
      <c r="AL607" s="530"/>
      <c r="AM607" s="530"/>
    </row>
    <row r="608" spans="35:39" x14ac:dyDescent="0.2">
      <c r="AI608" s="107"/>
      <c r="AJ608" s="107"/>
      <c r="AK608" s="530"/>
      <c r="AL608" s="530"/>
      <c r="AM608" s="530"/>
    </row>
    <row r="609" spans="35:39" x14ac:dyDescent="0.2">
      <c r="AI609" s="107"/>
      <c r="AJ609" s="107"/>
      <c r="AK609" s="530"/>
      <c r="AL609" s="530"/>
      <c r="AM609" s="530"/>
    </row>
    <row r="610" spans="35:39" x14ac:dyDescent="0.2">
      <c r="AI610" s="107"/>
      <c r="AJ610" s="107"/>
      <c r="AK610" s="530"/>
      <c r="AL610" s="530"/>
      <c r="AM610" s="530"/>
    </row>
    <row r="611" spans="35:39" x14ac:dyDescent="0.2">
      <c r="AI611" s="107"/>
      <c r="AJ611" s="107"/>
      <c r="AK611" s="530"/>
      <c r="AL611" s="530"/>
      <c r="AM611" s="530"/>
    </row>
    <row r="612" spans="35:39" x14ac:dyDescent="0.2">
      <c r="AI612" s="107"/>
      <c r="AJ612" s="107"/>
      <c r="AK612" s="530"/>
      <c r="AL612" s="530"/>
      <c r="AM612" s="530"/>
    </row>
    <row r="613" spans="35:39" x14ac:dyDescent="0.2">
      <c r="AI613" s="107"/>
      <c r="AJ613" s="107"/>
      <c r="AK613" s="530"/>
      <c r="AL613" s="530"/>
      <c r="AM613" s="530"/>
    </row>
    <row r="614" spans="35:39" x14ac:dyDescent="0.2">
      <c r="AI614" s="107"/>
      <c r="AJ614" s="107"/>
      <c r="AK614" s="530"/>
      <c r="AL614" s="530"/>
      <c r="AM614" s="530"/>
    </row>
    <row r="615" spans="35:39" x14ac:dyDescent="0.2">
      <c r="AI615" s="107"/>
      <c r="AJ615" s="107"/>
      <c r="AK615" s="530"/>
      <c r="AL615" s="530"/>
      <c r="AM615" s="530"/>
    </row>
    <row r="616" spans="35:39" x14ac:dyDescent="0.2">
      <c r="AI616" s="107"/>
      <c r="AJ616" s="107"/>
      <c r="AK616" s="530"/>
      <c r="AL616" s="530"/>
      <c r="AM616" s="530"/>
    </row>
    <row r="617" spans="35:39" x14ac:dyDescent="0.2">
      <c r="AI617" s="107"/>
      <c r="AJ617" s="107"/>
      <c r="AK617" s="530"/>
      <c r="AL617" s="530"/>
      <c r="AM617" s="530"/>
    </row>
    <row r="618" spans="35:39" x14ac:dyDescent="0.2">
      <c r="AI618" s="107"/>
      <c r="AJ618" s="107"/>
      <c r="AK618" s="530"/>
      <c r="AL618" s="530"/>
      <c r="AM618" s="530"/>
    </row>
    <row r="619" spans="35:39" x14ac:dyDescent="0.2">
      <c r="AI619" s="107"/>
      <c r="AJ619" s="107"/>
      <c r="AK619" s="530"/>
      <c r="AL619" s="530"/>
      <c r="AM619" s="530"/>
    </row>
    <row r="620" spans="35:39" x14ac:dyDescent="0.2">
      <c r="AI620" s="107"/>
      <c r="AJ620" s="107"/>
      <c r="AK620" s="530"/>
      <c r="AL620" s="530"/>
      <c r="AM620" s="530"/>
    </row>
    <row r="621" spans="35:39" x14ac:dyDescent="0.2">
      <c r="AI621" s="107"/>
      <c r="AJ621" s="107"/>
      <c r="AK621" s="530"/>
      <c r="AL621" s="530"/>
      <c r="AM621" s="530"/>
    </row>
    <row r="622" spans="35:39" x14ac:dyDescent="0.2">
      <c r="AI622" s="107"/>
      <c r="AJ622" s="107"/>
      <c r="AK622" s="530"/>
      <c r="AL622" s="530"/>
      <c r="AM622" s="530"/>
    </row>
    <row r="623" spans="35:39" x14ac:dyDescent="0.2">
      <c r="AI623" s="107"/>
      <c r="AJ623" s="107"/>
      <c r="AK623" s="530"/>
      <c r="AL623" s="530"/>
      <c r="AM623" s="530"/>
    </row>
    <row r="624" spans="35:39" x14ac:dyDescent="0.2">
      <c r="AI624" s="107"/>
      <c r="AJ624" s="107"/>
      <c r="AK624" s="530"/>
      <c r="AL624" s="530"/>
      <c r="AM624" s="530"/>
    </row>
    <row r="625" spans="35:39" x14ac:dyDescent="0.2">
      <c r="AI625" s="107"/>
      <c r="AJ625" s="107"/>
      <c r="AK625" s="530"/>
      <c r="AL625" s="530"/>
      <c r="AM625" s="530"/>
    </row>
    <row r="626" spans="35:39" x14ac:dyDescent="0.2">
      <c r="AI626" s="107"/>
      <c r="AJ626" s="107"/>
      <c r="AK626" s="530"/>
      <c r="AL626" s="530"/>
      <c r="AM626" s="530"/>
    </row>
    <row r="627" spans="35:39" x14ac:dyDescent="0.2">
      <c r="AI627" s="107"/>
      <c r="AJ627" s="107"/>
      <c r="AK627" s="530"/>
      <c r="AL627" s="530"/>
      <c r="AM627" s="530"/>
    </row>
    <row r="628" spans="35:39" x14ac:dyDescent="0.2">
      <c r="AI628" s="107"/>
      <c r="AJ628" s="107"/>
      <c r="AK628" s="530"/>
      <c r="AL628" s="530"/>
      <c r="AM628" s="530"/>
    </row>
    <row r="629" spans="35:39" x14ac:dyDescent="0.2">
      <c r="AI629" s="107"/>
      <c r="AJ629" s="107"/>
      <c r="AK629" s="530"/>
      <c r="AL629" s="530"/>
      <c r="AM629" s="530"/>
    </row>
    <row r="630" spans="35:39" x14ac:dyDescent="0.2">
      <c r="AI630" s="107"/>
      <c r="AJ630" s="107"/>
      <c r="AK630" s="530"/>
      <c r="AL630" s="530"/>
      <c r="AM630" s="530"/>
    </row>
    <row r="631" spans="35:39" x14ac:dyDescent="0.2">
      <c r="AI631" s="107"/>
      <c r="AJ631" s="107"/>
      <c r="AK631" s="530"/>
      <c r="AL631" s="530"/>
      <c r="AM631" s="530"/>
    </row>
    <row r="632" spans="35:39" x14ac:dyDescent="0.2">
      <c r="AI632" s="107"/>
      <c r="AJ632" s="107"/>
      <c r="AK632" s="530"/>
      <c r="AL632" s="530"/>
      <c r="AM632" s="530"/>
    </row>
    <row r="633" spans="35:39" x14ac:dyDescent="0.2">
      <c r="AI633" s="107"/>
      <c r="AJ633" s="107"/>
      <c r="AK633" s="530"/>
      <c r="AL633" s="530"/>
      <c r="AM633" s="530"/>
    </row>
    <row r="634" spans="35:39" x14ac:dyDescent="0.2">
      <c r="AI634" s="107"/>
      <c r="AJ634" s="107"/>
      <c r="AK634" s="530"/>
      <c r="AL634" s="530"/>
      <c r="AM634" s="530"/>
    </row>
    <row r="635" spans="35:39" x14ac:dyDescent="0.2">
      <c r="AI635" s="107"/>
      <c r="AJ635" s="107"/>
      <c r="AK635" s="530"/>
      <c r="AL635" s="530"/>
      <c r="AM635" s="530"/>
    </row>
    <row r="636" spans="35:39" x14ac:dyDescent="0.2">
      <c r="AI636" s="107"/>
      <c r="AJ636" s="107"/>
      <c r="AK636" s="530"/>
      <c r="AL636" s="530"/>
      <c r="AM636" s="530"/>
    </row>
    <row r="637" spans="35:39" x14ac:dyDescent="0.2">
      <c r="AI637" s="107"/>
      <c r="AJ637" s="107"/>
      <c r="AK637" s="530"/>
      <c r="AL637" s="530"/>
      <c r="AM637" s="530"/>
    </row>
    <row r="638" spans="35:39" x14ac:dyDescent="0.2">
      <c r="AI638" s="107"/>
      <c r="AJ638" s="107"/>
      <c r="AK638" s="530"/>
      <c r="AL638" s="530"/>
      <c r="AM638" s="530"/>
    </row>
    <row r="639" spans="35:39" x14ac:dyDescent="0.2">
      <c r="AI639" s="107"/>
      <c r="AJ639" s="107"/>
      <c r="AK639" s="530"/>
      <c r="AL639" s="530"/>
      <c r="AM639" s="530"/>
    </row>
    <row r="640" spans="35:39" x14ac:dyDescent="0.2">
      <c r="AI640" s="107"/>
      <c r="AJ640" s="107"/>
      <c r="AK640" s="530"/>
      <c r="AL640" s="530"/>
      <c r="AM640" s="530"/>
    </row>
    <row r="641" spans="35:39" x14ac:dyDescent="0.2">
      <c r="AI641" s="107"/>
      <c r="AJ641" s="107"/>
      <c r="AK641" s="530"/>
      <c r="AL641" s="530"/>
      <c r="AM641" s="530"/>
    </row>
    <row r="642" spans="35:39" x14ac:dyDescent="0.2">
      <c r="AI642" s="107"/>
      <c r="AJ642" s="107"/>
      <c r="AK642" s="530"/>
      <c r="AL642" s="530"/>
      <c r="AM642" s="530"/>
    </row>
    <row r="643" spans="35:39" x14ac:dyDescent="0.2">
      <c r="AI643" s="107"/>
      <c r="AJ643" s="107"/>
      <c r="AK643" s="530"/>
      <c r="AL643" s="530"/>
      <c r="AM643" s="530"/>
    </row>
    <row r="644" spans="35:39" x14ac:dyDescent="0.2">
      <c r="AI644" s="107"/>
      <c r="AJ644" s="107"/>
      <c r="AK644" s="530"/>
      <c r="AL644" s="530"/>
      <c r="AM644" s="530"/>
    </row>
    <row r="645" spans="35:39" x14ac:dyDescent="0.2">
      <c r="AI645" s="107"/>
      <c r="AJ645" s="107"/>
      <c r="AK645" s="530"/>
      <c r="AL645" s="530"/>
      <c r="AM645" s="530"/>
    </row>
    <row r="646" spans="35:39" x14ac:dyDescent="0.2">
      <c r="AI646" s="107"/>
      <c r="AJ646" s="107"/>
      <c r="AK646" s="530"/>
      <c r="AL646" s="530"/>
      <c r="AM646" s="530"/>
    </row>
    <row r="647" spans="35:39" x14ac:dyDescent="0.2">
      <c r="AI647" s="107"/>
      <c r="AJ647" s="107"/>
      <c r="AK647" s="530"/>
      <c r="AL647" s="530"/>
      <c r="AM647" s="530"/>
    </row>
    <row r="648" spans="35:39" x14ac:dyDescent="0.2">
      <c r="AI648" s="107"/>
      <c r="AJ648" s="107"/>
      <c r="AK648" s="530"/>
      <c r="AL648" s="530"/>
      <c r="AM648" s="530"/>
    </row>
    <row r="649" spans="35:39" x14ac:dyDescent="0.2">
      <c r="AI649" s="107"/>
      <c r="AJ649" s="107"/>
      <c r="AK649" s="530"/>
      <c r="AL649" s="530"/>
      <c r="AM649" s="530"/>
    </row>
    <row r="650" spans="35:39" x14ac:dyDescent="0.2">
      <c r="AI650" s="107"/>
      <c r="AJ650" s="107"/>
      <c r="AK650" s="530"/>
      <c r="AL650" s="530"/>
      <c r="AM650" s="530"/>
    </row>
    <row r="651" spans="35:39" x14ac:dyDescent="0.2">
      <c r="AI651" s="107"/>
      <c r="AJ651" s="107"/>
      <c r="AK651" s="530"/>
      <c r="AL651" s="530"/>
      <c r="AM651" s="530"/>
    </row>
    <row r="652" spans="35:39" x14ac:dyDescent="0.2">
      <c r="AI652" s="107"/>
      <c r="AJ652" s="107"/>
      <c r="AK652" s="530"/>
      <c r="AL652" s="530"/>
      <c r="AM652" s="530"/>
    </row>
    <row r="653" spans="35:39" x14ac:dyDescent="0.2">
      <c r="AI653" s="107"/>
      <c r="AJ653" s="107"/>
      <c r="AK653" s="530"/>
      <c r="AL653" s="530"/>
      <c r="AM653" s="530"/>
    </row>
    <row r="654" spans="35:39" x14ac:dyDescent="0.2">
      <c r="AI654" s="107"/>
      <c r="AJ654" s="107"/>
      <c r="AK654" s="530"/>
      <c r="AL654" s="530"/>
      <c r="AM654" s="530"/>
    </row>
    <row r="655" spans="35:39" x14ac:dyDescent="0.2">
      <c r="AI655" s="107"/>
      <c r="AJ655" s="107"/>
      <c r="AK655" s="530"/>
      <c r="AL655" s="530"/>
      <c r="AM655" s="530"/>
    </row>
    <row r="656" spans="35:39" x14ac:dyDescent="0.2">
      <c r="AI656" s="107"/>
      <c r="AJ656" s="107"/>
      <c r="AK656" s="530"/>
      <c r="AL656" s="530"/>
      <c r="AM656" s="530"/>
    </row>
    <row r="657" spans="35:39" x14ac:dyDescent="0.2">
      <c r="AI657" s="107"/>
      <c r="AJ657" s="107"/>
      <c r="AK657" s="530"/>
      <c r="AL657" s="530"/>
      <c r="AM657" s="530"/>
    </row>
    <row r="658" spans="35:39" x14ac:dyDescent="0.2">
      <c r="AI658" s="107"/>
      <c r="AJ658" s="107"/>
      <c r="AK658" s="530"/>
      <c r="AL658" s="530"/>
      <c r="AM658" s="530"/>
    </row>
    <row r="659" spans="35:39" x14ac:dyDescent="0.2">
      <c r="AI659" s="107"/>
      <c r="AJ659" s="107"/>
      <c r="AK659" s="530"/>
      <c r="AL659" s="530"/>
      <c r="AM659" s="530"/>
    </row>
    <row r="660" spans="35:39" x14ac:dyDescent="0.2">
      <c r="AI660" s="107"/>
      <c r="AJ660" s="107"/>
      <c r="AK660" s="530"/>
      <c r="AL660" s="530"/>
      <c r="AM660" s="530"/>
    </row>
    <row r="661" spans="35:39" x14ac:dyDescent="0.2">
      <c r="AI661" s="107"/>
      <c r="AJ661" s="107"/>
      <c r="AK661" s="530"/>
      <c r="AL661" s="530"/>
      <c r="AM661" s="530"/>
    </row>
    <row r="662" spans="35:39" x14ac:dyDescent="0.2">
      <c r="AI662" s="107"/>
      <c r="AJ662" s="107"/>
      <c r="AK662" s="530"/>
      <c r="AL662" s="530"/>
      <c r="AM662" s="530"/>
    </row>
  </sheetData>
  <autoFilter ref="B6:AR322"/>
  <mergeCells count="115">
    <mergeCell ref="B19:J19"/>
    <mergeCell ref="B322:P322"/>
    <mergeCell ref="B16:J16"/>
    <mergeCell ref="B22:J22"/>
    <mergeCell ref="B13:J13"/>
    <mergeCell ref="B28:J28"/>
    <mergeCell ref="B89:J91"/>
    <mergeCell ref="B61:J61"/>
    <mergeCell ref="B64:J64"/>
    <mergeCell ref="B66:J66"/>
    <mergeCell ref="B69:J69"/>
    <mergeCell ref="B71:J71"/>
    <mergeCell ref="B77:J77"/>
    <mergeCell ref="B81:J83"/>
    <mergeCell ref="B86:J86"/>
    <mergeCell ref="B38:J38"/>
    <mergeCell ref="B34:J34"/>
    <mergeCell ref="B269:J269"/>
    <mergeCell ref="B58:J58"/>
    <mergeCell ref="B201:J201"/>
    <mergeCell ref="B204:J204"/>
    <mergeCell ref="B215:J215"/>
    <mergeCell ref="B307:J320"/>
    <mergeCell ref="B276:J276"/>
    <mergeCell ref="B278:J278"/>
    <mergeCell ref="B280:J280"/>
    <mergeCell ref="B283:J283"/>
    <mergeCell ref="B285:J285"/>
    <mergeCell ref="B291:J303"/>
    <mergeCell ref="B164:J166"/>
    <mergeCell ref="B173:J173"/>
    <mergeCell ref="B168:J168"/>
    <mergeCell ref="B271:J271"/>
    <mergeCell ref="B232:J233"/>
    <mergeCell ref="B220:J228"/>
    <mergeCell ref="B185:J185"/>
    <mergeCell ref="B188:J188"/>
    <mergeCell ref="B190:J190"/>
    <mergeCell ref="B197:J197"/>
    <mergeCell ref="B235:J239"/>
    <mergeCell ref="B253:J253"/>
    <mergeCell ref="B259:J259"/>
    <mergeCell ref="B265:J265"/>
    <mergeCell ref="B256:J256"/>
    <mergeCell ref="AI221:AI222"/>
    <mergeCell ref="B56:J56"/>
    <mergeCell ref="B40:J40"/>
    <mergeCell ref="B42:J43"/>
    <mergeCell ref="B45:J46"/>
    <mergeCell ref="B50:J51"/>
    <mergeCell ref="B53:J53"/>
    <mergeCell ref="B181:J182"/>
    <mergeCell ref="B117:J117"/>
    <mergeCell ref="B115:J115"/>
    <mergeCell ref="B94:J94"/>
    <mergeCell ref="B100:J102"/>
    <mergeCell ref="B104:J105"/>
    <mergeCell ref="B108:J109"/>
    <mergeCell ref="B121:J123"/>
    <mergeCell ref="B177:J178"/>
    <mergeCell ref="B127:J137"/>
    <mergeCell ref="B139:J139"/>
    <mergeCell ref="B141:J148"/>
    <mergeCell ref="B150:J150"/>
    <mergeCell ref="B153:J155"/>
    <mergeCell ref="B157:J158"/>
    <mergeCell ref="B162:J162"/>
    <mergeCell ref="AO38:AO40"/>
    <mergeCell ref="AP38:AP40"/>
    <mergeCell ref="AI108:AI109"/>
    <mergeCell ref="AJ108:AJ109"/>
    <mergeCell ref="AN108:AN109"/>
    <mergeCell ref="AO108:AO109"/>
    <mergeCell ref="AP108:AP109"/>
    <mergeCell ref="AI38:AI40"/>
    <mergeCell ref="AJ38:AJ40"/>
    <mergeCell ref="AK38:AK40"/>
    <mergeCell ref="AL38:AL40"/>
    <mergeCell ref="AN38:AN40"/>
    <mergeCell ref="AM38:AM40"/>
    <mergeCell ref="AI82:AI83"/>
    <mergeCell ref="AJ82:AJ83"/>
    <mergeCell ref="AN82:AN83"/>
    <mergeCell ref="AO82:AO83"/>
    <mergeCell ref="AP82:AP83"/>
    <mergeCell ref="AK82:AK83"/>
    <mergeCell ref="AL82:AL83"/>
    <mergeCell ref="AM82:AM83"/>
    <mergeCell ref="AK108:AK109"/>
    <mergeCell ref="AL108:AL109"/>
    <mergeCell ref="AM108:AM109"/>
    <mergeCell ref="AI318:AI319"/>
    <mergeCell ref="AJ318:AJ319"/>
    <mergeCell ref="AI291:AI298"/>
    <mergeCell ref="AJ291:AJ298"/>
    <mergeCell ref="AN291:AN298"/>
    <mergeCell ref="AO291:AO298"/>
    <mergeCell ref="AP291:AP298"/>
    <mergeCell ref="AI302:AI303"/>
    <mergeCell ref="AJ302:AJ303"/>
    <mergeCell ref="AN302:AN303"/>
    <mergeCell ref="AO302:AO303"/>
    <mergeCell ref="AP302:AP303"/>
    <mergeCell ref="AK291:AK298"/>
    <mergeCell ref="AL291:AL298"/>
    <mergeCell ref="AM291:AM298"/>
    <mergeCell ref="AK221:AK222"/>
    <mergeCell ref="AL221:AL222"/>
    <mergeCell ref="AM221:AM222"/>
    <mergeCell ref="AN221:AN222"/>
    <mergeCell ref="AO221:AO222"/>
    <mergeCell ref="AP221:AP222"/>
    <mergeCell ref="AN318:AN319"/>
    <mergeCell ref="AO318:AO319"/>
    <mergeCell ref="AP318:AP319"/>
  </mergeCells>
  <phoneticPr fontId="15" type="noConversion"/>
  <pageMargins left="0.7" right="0.7" top="0.75" bottom="0.75" header="0.3" footer="0.3"/>
  <pageSetup scale="1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A7" workbookViewId="0">
      <selection activeCell="D17" sqref="D17"/>
    </sheetView>
  </sheetViews>
  <sheetFormatPr baseColWidth="10" defaultRowHeight="15" x14ac:dyDescent="0.25"/>
  <cols>
    <col min="2" max="2" width="42" bestFit="1" customWidth="1"/>
    <col min="3" max="3" width="17.7109375" bestFit="1" customWidth="1"/>
    <col min="4" max="4" width="17.7109375" customWidth="1"/>
    <col min="5" max="5" width="19.28515625" customWidth="1"/>
    <col min="6" max="6" width="38" customWidth="1"/>
    <col min="7" max="7" width="17.28515625" customWidth="1"/>
    <col min="9" max="10" width="15.140625" bestFit="1" customWidth="1"/>
  </cols>
  <sheetData>
    <row r="1" spans="1:14" x14ac:dyDescent="0.25">
      <c r="A1" s="746" t="s">
        <v>634</v>
      </c>
      <c r="B1" s="747"/>
      <c r="C1" s="747"/>
      <c r="D1" s="747"/>
      <c r="E1" s="747"/>
      <c r="F1" s="594"/>
    </row>
    <row r="2" spans="1:14" ht="36.75" customHeight="1" x14ac:dyDescent="0.25">
      <c r="A2" s="568" t="s">
        <v>624</v>
      </c>
      <c r="B2" s="569" t="s">
        <v>635</v>
      </c>
      <c r="C2" s="569" t="s">
        <v>636</v>
      </c>
      <c r="D2" s="570" t="s">
        <v>637</v>
      </c>
      <c r="E2" s="593" t="s">
        <v>638</v>
      </c>
      <c r="F2" s="569" t="s">
        <v>659</v>
      </c>
    </row>
    <row r="3" spans="1:14" s="614" customFormat="1" x14ac:dyDescent="0.25">
      <c r="A3" s="610" t="s">
        <v>639</v>
      </c>
      <c r="B3" s="611" t="s">
        <v>640</v>
      </c>
      <c r="C3" s="612">
        <v>39102461</v>
      </c>
      <c r="D3" s="612"/>
      <c r="E3" s="613">
        <f>+C3-D4</f>
        <v>34102461</v>
      </c>
    </row>
    <row r="4" spans="1:14" s="614" customFormat="1" x14ac:dyDescent="0.25">
      <c r="A4" s="615"/>
      <c r="B4" s="616" t="s">
        <v>641</v>
      </c>
      <c r="C4" s="606"/>
      <c r="D4" s="617">
        <v>5000000</v>
      </c>
      <c r="E4" s="617"/>
      <c r="F4" s="618" t="s">
        <v>666</v>
      </c>
      <c r="J4" s="620">
        <f>115000000+E3</f>
        <v>149102461</v>
      </c>
    </row>
    <row r="5" spans="1:14" ht="45" x14ac:dyDescent="0.25">
      <c r="A5" s="571" t="s">
        <v>642</v>
      </c>
      <c r="B5" s="572" t="s">
        <v>643</v>
      </c>
      <c r="C5" s="573">
        <v>197214889.35000002</v>
      </c>
      <c r="D5" s="573"/>
      <c r="E5" s="574">
        <f>+C5-D6-D7-D8-D9-D10</f>
        <v>162882889.35000002</v>
      </c>
    </row>
    <row r="6" spans="1:14" x14ac:dyDescent="0.25">
      <c r="A6" s="579"/>
      <c r="B6" s="580"/>
      <c r="C6" s="577"/>
      <c r="D6" s="581"/>
      <c r="E6" s="577"/>
      <c r="F6" s="594"/>
      <c r="I6" s="622">
        <f>115000000+E3</f>
        <v>149102461</v>
      </c>
      <c r="J6" s="622">
        <f>+I6-2995000</f>
        <v>146107461</v>
      </c>
    </row>
    <row r="7" spans="1:14" x14ac:dyDescent="0.25">
      <c r="A7" s="579"/>
      <c r="B7" s="580" t="s">
        <v>644</v>
      </c>
      <c r="C7" s="577"/>
      <c r="D7" s="581">
        <v>30000000</v>
      </c>
      <c r="E7" s="581"/>
      <c r="F7" s="594"/>
    </row>
    <row r="8" spans="1:14" x14ac:dyDescent="0.25">
      <c r="A8" s="579"/>
      <c r="B8" s="580"/>
      <c r="C8" s="577"/>
      <c r="D8" s="581"/>
      <c r="E8" s="581"/>
      <c r="F8" s="594"/>
    </row>
    <row r="9" spans="1:14" x14ac:dyDescent="0.25">
      <c r="A9" s="579"/>
      <c r="B9" s="580" t="s">
        <v>645</v>
      </c>
      <c r="C9" s="577"/>
      <c r="D9" s="581">
        <v>0</v>
      </c>
      <c r="E9" s="581"/>
      <c r="F9" s="594"/>
    </row>
    <row r="10" spans="1:14" x14ac:dyDescent="0.25">
      <c r="A10" s="575"/>
      <c r="B10" s="576" t="s">
        <v>646</v>
      </c>
      <c r="C10" s="577"/>
      <c r="D10" s="578">
        <v>4332000</v>
      </c>
      <c r="E10" s="578"/>
      <c r="F10" s="594"/>
    </row>
    <row r="11" spans="1:14" ht="45" x14ac:dyDescent="0.25">
      <c r="A11" s="571" t="s">
        <v>647</v>
      </c>
      <c r="B11" s="572" t="s">
        <v>648</v>
      </c>
      <c r="C11" s="573">
        <v>1084887206.1900001</v>
      </c>
      <c r="D11" s="573"/>
      <c r="E11" s="574">
        <f>+C11-D12-D13-D14-D15-D16-D17-D18-D19-D20-D21-D22</f>
        <v>-389117399.67999995</v>
      </c>
    </row>
    <row r="12" spans="1:14" ht="75" x14ac:dyDescent="0.25">
      <c r="A12" s="582"/>
      <c r="B12" s="605" t="s">
        <v>649</v>
      </c>
      <c r="C12" s="606"/>
      <c r="D12" s="607">
        <v>85500000</v>
      </c>
      <c r="E12" s="607"/>
      <c r="F12" s="608" t="s">
        <v>660</v>
      </c>
      <c r="G12" s="608" t="s">
        <v>661</v>
      </c>
      <c r="J12" s="585">
        <f>+E3-2995000</f>
        <v>31107461</v>
      </c>
    </row>
    <row r="13" spans="1:14" ht="60" x14ac:dyDescent="0.25">
      <c r="A13" s="582"/>
      <c r="B13" s="605" t="s">
        <v>650</v>
      </c>
      <c r="C13" s="606"/>
      <c r="D13" s="607">
        <v>129130000</v>
      </c>
      <c r="E13" s="607"/>
      <c r="F13" s="608" t="s">
        <v>664</v>
      </c>
      <c r="G13" s="609"/>
    </row>
    <row r="14" spans="1:14" x14ac:dyDescent="0.25">
      <c r="A14" s="582"/>
      <c r="B14" s="605" t="s">
        <v>667</v>
      </c>
      <c r="C14" s="606"/>
      <c r="D14" s="607">
        <f>388000000+390000000</f>
        <v>778000000</v>
      </c>
      <c r="E14" s="619"/>
      <c r="F14" s="618"/>
      <c r="G14" s="618"/>
    </row>
    <row r="15" spans="1:14" x14ac:dyDescent="0.25">
      <c r="A15" s="582"/>
      <c r="B15" s="583" t="s">
        <v>651</v>
      </c>
      <c r="C15" s="577"/>
      <c r="D15" s="584">
        <v>0</v>
      </c>
      <c r="E15" s="595"/>
      <c r="F15" s="597"/>
      <c r="G15" s="594"/>
      <c r="N15">
        <f>+N13+N14</f>
        <v>0</v>
      </c>
    </row>
    <row r="16" spans="1:14" x14ac:dyDescent="0.25">
      <c r="A16" s="582"/>
      <c r="B16" s="605" t="s">
        <v>665</v>
      </c>
      <c r="C16" s="606"/>
      <c r="D16" s="607">
        <v>0</v>
      </c>
      <c r="E16" s="619"/>
      <c r="F16" s="618"/>
      <c r="G16" s="594"/>
    </row>
    <row r="17" spans="1:7" x14ac:dyDescent="0.25">
      <c r="A17" s="582"/>
      <c r="B17" s="605" t="s">
        <v>652</v>
      </c>
      <c r="C17" s="606"/>
      <c r="D17" s="607">
        <f>115000000-40000000</f>
        <v>75000000</v>
      </c>
      <c r="E17" s="619"/>
      <c r="F17" s="618"/>
      <c r="G17" s="618"/>
    </row>
    <row r="18" spans="1:7" x14ac:dyDescent="0.25">
      <c r="A18" s="582"/>
      <c r="B18" s="598" t="s">
        <v>653</v>
      </c>
      <c r="C18" s="599"/>
      <c r="D18" s="600">
        <v>111033881</v>
      </c>
      <c r="E18" s="595"/>
      <c r="F18" s="594"/>
      <c r="G18" s="594"/>
    </row>
    <row r="19" spans="1:7" x14ac:dyDescent="0.25">
      <c r="A19" s="582"/>
      <c r="B19" s="583" t="s">
        <v>654</v>
      </c>
      <c r="C19" s="577"/>
      <c r="D19" s="584">
        <v>0</v>
      </c>
      <c r="E19" s="595"/>
      <c r="F19" s="594"/>
      <c r="G19" s="594"/>
    </row>
    <row r="20" spans="1:7" ht="60" x14ac:dyDescent="0.25">
      <c r="A20" s="582"/>
      <c r="B20" s="583" t="s">
        <v>662</v>
      </c>
      <c r="C20" s="577"/>
      <c r="D20" s="584">
        <v>19203744</v>
      </c>
      <c r="E20" s="595"/>
      <c r="F20" s="597" t="s">
        <v>663</v>
      </c>
      <c r="G20" s="597" t="s">
        <v>221</v>
      </c>
    </row>
    <row r="21" spans="1:7" x14ac:dyDescent="0.25">
      <c r="A21" s="582"/>
      <c r="B21" s="583" t="s">
        <v>655</v>
      </c>
      <c r="C21" s="577"/>
      <c r="D21" s="584">
        <v>249248980.87</v>
      </c>
      <c r="E21" s="595"/>
      <c r="F21" s="594"/>
      <c r="G21" s="594"/>
    </row>
    <row r="22" spans="1:7" ht="15.75" thickBot="1" x14ac:dyDescent="0.3">
      <c r="A22" s="586"/>
      <c r="B22" s="587" t="s">
        <v>656</v>
      </c>
      <c r="C22" s="588"/>
      <c r="D22" s="589">
        <v>26888000</v>
      </c>
      <c r="E22" s="596"/>
      <c r="F22" s="594"/>
      <c r="G22" s="594"/>
    </row>
    <row r="23" spans="1:7" ht="15.75" thickBot="1" x14ac:dyDescent="0.3">
      <c r="A23" s="748" t="s">
        <v>657</v>
      </c>
      <c r="B23" s="749"/>
      <c r="C23" s="590">
        <f>+C3+C5+C11</f>
        <v>1321204556.54</v>
      </c>
      <c r="D23" s="591">
        <f>SUM(D4:D22)</f>
        <v>1513336605.8699999</v>
      </c>
      <c r="E23" s="592">
        <f>+E3+E5+E11</f>
        <v>-192132049.32999992</v>
      </c>
      <c r="G23" s="585"/>
    </row>
  </sheetData>
  <mergeCells count="2">
    <mergeCell ref="A1:E1"/>
    <mergeCell ref="A23:B23"/>
  </mergeCells>
  <pageMargins left="0.7" right="0.7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6:J25"/>
  <sheetViews>
    <sheetView workbookViewId="0">
      <selection activeCell="F23" sqref="F23"/>
    </sheetView>
  </sheetViews>
  <sheetFormatPr baseColWidth="10" defaultRowHeight="15" x14ac:dyDescent="0.25"/>
  <cols>
    <col min="5" max="5" width="15.5703125" bestFit="1" customWidth="1"/>
    <col min="9" max="10" width="80" bestFit="1" customWidth="1"/>
  </cols>
  <sheetData>
    <row r="16" spans="9:10" x14ac:dyDescent="0.25">
      <c r="I16" t="s">
        <v>681</v>
      </c>
      <c r="J16" t="s">
        <v>682</v>
      </c>
    </row>
    <row r="20" spans="5:7" x14ac:dyDescent="0.25">
      <c r="E20" s="636">
        <v>24000000</v>
      </c>
    </row>
    <row r="23" spans="5:7" x14ac:dyDescent="0.25">
      <c r="F23">
        <v>215166656</v>
      </c>
      <c r="G23">
        <v>211666656</v>
      </c>
    </row>
    <row r="25" spans="5:7" x14ac:dyDescent="0.25">
      <c r="F25">
        <f>+F23-G23</f>
        <v>3500000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Proy Plan Adqu ICFE 2020 Ang</vt:lpstr>
      <vt:lpstr>Plan Adqu ICFE 2021 Total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Adriano Arteaga Velasquez</dc:creator>
  <cp:lastModifiedBy>Olga Milena González Gómez</cp:lastModifiedBy>
  <cp:lastPrinted>2021-11-08T17:13:32Z</cp:lastPrinted>
  <dcterms:created xsi:type="dcterms:W3CDTF">2019-03-14T16:36:22Z</dcterms:created>
  <dcterms:modified xsi:type="dcterms:W3CDTF">2022-01-26T19:09:37Z</dcterms:modified>
</cp:coreProperties>
</file>