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hidePivotFieldList="1" defaultThemeVersion="164011"/>
  <mc:AlternateContent xmlns:mc="http://schemas.openxmlformats.org/markup-compatibility/2006">
    <mc:Choice Requires="x15">
      <x15ac:absPath xmlns:x15ac="http://schemas.microsoft.com/office/spreadsheetml/2010/11/ac" url="\\172.23.131.133\Planeacion\Plan de Adquisiciones 2022-ICFE\"/>
    </mc:Choice>
  </mc:AlternateContent>
  <bookViews>
    <workbookView xWindow="0" yWindow="0" windowWidth="28800" windowHeight="12000" firstSheet="1" activeTab="1"/>
  </bookViews>
  <sheets>
    <sheet name="Proy Plan Adqu ICFE 2020 Ang" sheetId="5" state="hidden" r:id="rId1"/>
    <sheet name="Plan Adqu ICFE 2021 Total" sheetId="8" r:id="rId2"/>
    <sheet name="Hoja1" sheetId="25" r:id="rId3"/>
    <sheet name="Hoja5" sheetId="26" r:id="rId4"/>
    <sheet name="Hoja2" sheetId="20" r:id="rId5"/>
    <sheet name="Hoja3" sheetId="23" r:id="rId6"/>
    <sheet name="Hoja4" sheetId="24" r:id="rId7"/>
  </sheets>
  <definedNames>
    <definedName name="_xlnm._FilterDatabase" localSheetId="1" hidden="1">'Plan Adqu ICFE 2021 Total'!$A$6:$AB$73</definedName>
    <definedName name="_xlnm._FilterDatabase" localSheetId="0" hidden="1">'Proy Plan Adqu ICFE 2020 Ang'!$B$6:$AH$354</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Q200" i="8" l="1"/>
  <c r="Q190" i="8"/>
  <c r="Q191" i="8"/>
  <c r="Q204" i="8"/>
  <c r="Z254" i="8" l="1"/>
  <c r="Q249" i="8" l="1"/>
  <c r="Q250" i="8"/>
  <c r="S255" i="8"/>
  <c r="Z249" i="8"/>
  <c r="Z255" i="8"/>
  <c r="X162" i="8"/>
  <c r="AB155" i="8"/>
  <c r="AA155" i="8"/>
  <c r="Z155" i="8"/>
  <c r="Z157" i="8"/>
  <c r="X155" i="8"/>
  <c r="W155" i="8"/>
  <c r="W219" i="8"/>
  <c r="X219" i="8"/>
  <c r="AA219" i="8"/>
  <c r="Q201" i="8" l="1"/>
  <c r="Q196" i="8"/>
  <c r="Q195" i="8" s="1"/>
  <c r="Q194" i="8" l="1"/>
  <c r="Q192" i="8"/>
  <c r="AA205" i="8"/>
  <c r="AB205" i="8" s="1"/>
  <c r="AB204" i="8" s="1"/>
  <c r="Z205" i="8"/>
  <c r="Z204" i="8" s="1"/>
  <c r="Y204" i="8"/>
  <c r="X204" i="8"/>
  <c r="W204" i="8"/>
  <c r="V204" i="8"/>
  <c r="U204" i="8"/>
  <c r="AA204" i="8" l="1"/>
  <c r="Q218" i="8"/>
  <c r="Z218" i="8" s="1"/>
  <c r="Q217" i="8"/>
  <c r="Q219" i="8" l="1"/>
  <c r="Z219" i="8" l="1"/>
  <c r="AB219" i="8"/>
  <c r="Q20" i="8"/>
  <c r="Q19" i="8" s="1"/>
  <c r="Q17" i="8"/>
  <c r="Q16" i="8" s="1"/>
  <c r="Q12" i="8"/>
  <c r="Q11" i="8" s="1"/>
  <c r="Q10" i="8" s="1"/>
  <c r="Q221" i="8" l="1"/>
  <c r="Q176" i="8"/>
  <c r="Q45" i="8"/>
  <c r="Q286" i="8"/>
  <c r="Q287" i="8" l="1"/>
  <c r="Q295" i="8"/>
  <c r="Q293" i="8"/>
  <c r="Q294" i="8"/>
  <c r="Q296" i="8"/>
  <c r="AA77" i="8" l="1"/>
  <c r="AB77" i="8" s="1"/>
  <c r="Z77" i="8"/>
  <c r="Q43" i="8"/>
  <c r="Q76" i="8"/>
  <c r="Q75" i="8" s="1"/>
  <c r="Q245" i="8" l="1"/>
  <c r="Q223" i="8"/>
  <c r="Q222" i="8"/>
  <c r="Q162" i="8"/>
  <c r="Q161" i="8"/>
  <c r="Q303" i="8"/>
  <c r="Q51" i="8" l="1"/>
  <c r="Q68" i="8" l="1"/>
  <c r="Q61" i="8"/>
  <c r="Q50" i="8"/>
  <c r="Q41" i="8"/>
  <c r="Q39" i="8"/>
  <c r="Q33" i="8"/>
  <c r="Q125" i="8"/>
  <c r="Q132" i="8" l="1"/>
  <c r="Q279" i="8" l="1"/>
  <c r="Q276" i="8"/>
  <c r="Q274" i="8"/>
  <c r="Q272" i="8"/>
  <c r="Q270" i="8"/>
  <c r="Q269" i="8" l="1"/>
  <c r="R105" i="8"/>
  <c r="S105" i="8" s="1"/>
  <c r="R104" i="8"/>
  <c r="S104" i="8" s="1"/>
  <c r="Q143" i="8" l="1"/>
  <c r="Z313" i="8"/>
  <c r="W315" i="8" l="1"/>
  <c r="X315" i="8"/>
  <c r="AA264" i="8"/>
  <c r="AB264" i="8" s="1"/>
  <c r="Z264" i="8"/>
  <c r="AA104" i="8"/>
  <c r="AB104" i="8" s="1"/>
  <c r="Z104" i="8"/>
  <c r="AA317" i="8" l="1"/>
  <c r="AB317" i="8" s="1"/>
  <c r="Z317" i="8"/>
  <c r="AA316" i="8"/>
  <c r="AB316" i="8" s="1"/>
  <c r="Z316" i="8"/>
  <c r="AA315" i="8"/>
  <c r="AB315" i="8" s="1"/>
  <c r="Z315" i="8"/>
  <c r="AA312" i="8"/>
  <c r="AB312" i="8" s="1"/>
  <c r="Z312" i="8"/>
  <c r="AA311" i="8"/>
  <c r="AB311" i="8" s="1"/>
  <c r="Z311" i="8"/>
  <c r="AA310" i="8"/>
  <c r="AB310" i="8" s="1"/>
  <c r="Z310" i="8"/>
  <c r="AA309" i="8"/>
  <c r="AB309" i="8" s="1"/>
  <c r="Z309" i="8"/>
  <c r="AA308" i="8"/>
  <c r="AB308" i="8" s="1"/>
  <c r="Z308" i="8"/>
  <c r="AA307" i="8"/>
  <c r="AB307" i="8" s="1"/>
  <c r="Z307" i="8"/>
  <c r="AA306" i="8"/>
  <c r="AB306" i="8" s="1"/>
  <c r="Z306" i="8"/>
  <c r="AA305" i="8"/>
  <c r="AB305" i="8" s="1"/>
  <c r="Z305" i="8"/>
  <c r="AA304" i="8"/>
  <c r="AB304" i="8" s="1"/>
  <c r="Z304" i="8"/>
  <c r="AA301" i="8"/>
  <c r="AA300" i="8"/>
  <c r="AA299" i="8"/>
  <c r="AA298" i="8"/>
  <c r="AA297" i="8"/>
  <c r="AA296" i="8"/>
  <c r="AA295" i="8"/>
  <c r="AB295" i="8" s="1"/>
  <c r="Z295" i="8"/>
  <c r="AA294" i="8"/>
  <c r="AA293" i="8"/>
  <c r="AB293" i="8" s="1"/>
  <c r="Z293" i="8"/>
  <c r="AA292" i="8"/>
  <c r="AB292" i="8" s="1"/>
  <c r="Z292" i="8"/>
  <c r="AA291" i="8"/>
  <c r="AA290" i="8"/>
  <c r="AB290" i="8" s="1"/>
  <c r="Z290" i="8"/>
  <c r="AA289" i="8"/>
  <c r="AB289" i="8" s="1"/>
  <c r="Z289" i="8"/>
  <c r="AA288" i="8"/>
  <c r="AB288" i="8" s="1"/>
  <c r="Z288" i="8"/>
  <c r="AA287" i="8"/>
  <c r="AB287" i="8" s="1"/>
  <c r="Z287" i="8"/>
  <c r="AA261" i="8"/>
  <c r="AA259" i="8"/>
  <c r="AB259" i="8" s="1"/>
  <c r="Z259" i="8"/>
  <c r="AA255" i="8"/>
  <c r="AB255" i="8" s="1"/>
  <c r="AA254" i="8"/>
  <c r="AA253" i="8"/>
  <c r="AB253" i="8" s="1"/>
  <c r="Z253" i="8"/>
  <c r="AA252" i="8"/>
  <c r="AA250" i="8"/>
  <c r="AB250" i="8" s="1"/>
  <c r="Z250" i="8"/>
  <c r="AA249" i="8"/>
  <c r="AB249" i="8" s="1"/>
  <c r="AA246" i="8"/>
  <c r="AB246" i="8" s="1"/>
  <c r="Z246" i="8"/>
  <c r="AA245" i="8"/>
  <c r="AB245" i="8" s="1"/>
  <c r="Z245" i="8"/>
  <c r="AA240" i="8"/>
  <c r="AB240" i="8" s="1"/>
  <c r="Z240" i="8"/>
  <c r="AA236" i="8"/>
  <c r="AB236" i="8" s="1"/>
  <c r="Z236" i="8"/>
  <c r="AA231" i="8"/>
  <c r="AB231" i="8" s="1"/>
  <c r="Z231" i="8"/>
  <c r="AA230" i="8"/>
  <c r="AB230" i="8" s="1"/>
  <c r="Z230" i="8"/>
  <c r="AA229" i="8"/>
  <c r="AB229" i="8" s="1"/>
  <c r="Z229" i="8"/>
  <c r="AA227" i="8"/>
  <c r="AB227" i="8" s="1"/>
  <c r="Z227" i="8"/>
  <c r="AA226" i="8"/>
  <c r="AB226" i="8" s="1"/>
  <c r="Z226" i="8"/>
  <c r="AA224" i="8"/>
  <c r="AB224" i="8" s="1"/>
  <c r="Z224" i="8"/>
  <c r="AA223" i="8"/>
  <c r="AB223" i="8" s="1"/>
  <c r="Z223" i="8"/>
  <c r="AA222" i="8"/>
  <c r="AB222" i="8" s="1"/>
  <c r="Z222" i="8"/>
  <c r="AA221" i="8"/>
  <c r="AB221" i="8" s="1"/>
  <c r="Z221" i="8"/>
  <c r="AA218" i="8"/>
  <c r="AB218" i="8" s="1"/>
  <c r="AA217" i="8"/>
  <c r="AB217" i="8" s="1"/>
  <c r="Z217" i="8"/>
  <c r="AA216" i="8"/>
  <c r="AB216" i="8" s="1"/>
  <c r="Z216" i="8"/>
  <c r="AA215" i="8"/>
  <c r="AB215" i="8" s="1"/>
  <c r="Z215" i="8"/>
  <c r="AA214" i="8"/>
  <c r="AA213" i="8"/>
  <c r="AA208" i="8"/>
  <c r="AB208" i="8" s="1"/>
  <c r="Z208" i="8"/>
  <c r="AA203" i="8"/>
  <c r="AB203" i="8" s="1"/>
  <c r="Z203" i="8"/>
  <c r="AA202" i="8"/>
  <c r="AB202" i="8" s="1"/>
  <c r="Z202" i="8"/>
  <c r="AA199" i="8"/>
  <c r="AB199" i="8" s="1"/>
  <c r="Z199" i="8"/>
  <c r="AA196" i="8"/>
  <c r="AB196" i="8" s="1"/>
  <c r="Z196" i="8"/>
  <c r="AA193" i="8"/>
  <c r="AB193" i="8" s="1"/>
  <c r="Z193" i="8"/>
  <c r="AA189" i="8"/>
  <c r="AB189" i="8" s="1"/>
  <c r="Z189" i="8"/>
  <c r="AA182" i="8"/>
  <c r="AB182" i="8" s="1"/>
  <c r="Z182" i="8"/>
  <c r="AA180" i="8"/>
  <c r="AB180" i="8" s="1"/>
  <c r="Z180" i="8"/>
  <c r="AA177" i="8"/>
  <c r="AB177" i="8" s="1"/>
  <c r="Z177" i="8"/>
  <c r="AA176" i="8"/>
  <c r="AB176" i="8" s="1"/>
  <c r="Z176" i="8"/>
  <c r="AA173" i="8"/>
  <c r="AB173" i="8" s="1"/>
  <c r="Z173" i="8"/>
  <c r="AA172" i="8"/>
  <c r="AB172" i="8" s="1"/>
  <c r="Z172" i="8"/>
  <c r="AA169" i="8"/>
  <c r="AB169" i="8" s="1"/>
  <c r="Z169" i="8"/>
  <c r="AA168" i="8"/>
  <c r="AB168" i="8" s="1"/>
  <c r="Z168" i="8"/>
  <c r="AA164" i="8"/>
  <c r="AB164" i="8" s="1"/>
  <c r="Z164" i="8"/>
  <c r="AA163" i="8"/>
  <c r="AB163" i="8" s="1"/>
  <c r="Z163" i="8"/>
  <c r="AA162" i="8"/>
  <c r="AB162" i="8" s="1"/>
  <c r="Z162" i="8"/>
  <c r="AA161" i="8"/>
  <c r="AB161" i="8" s="1"/>
  <c r="Z161" i="8"/>
  <c r="AA160" i="8"/>
  <c r="AB160" i="8" s="1"/>
  <c r="Z160" i="8"/>
  <c r="AA158" i="8"/>
  <c r="AB158" i="8" s="1"/>
  <c r="Z158" i="8"/>
  <c r="AA157" i="8"/>
  <c r="AB157" i="8" s="1"/>
  <c r="AA153" i="8"/>
  <c r="AB153" i="8" s="1"/>
  <c r="Z153" i="8"/>
  <c r="AA149" i="8"/>
  <c r="AB149" i="8" s="1"/>
  <c r="Z149" i="8"/>
  <c r="AA148" i="8"/>
  <c r="AB148" i="8" s="1"/>
  <c r="Z148" i="8"/>
  <c r="AA146" i="8"/>
  <c r="AB146" i="8" s="1"/>
  <c r="Z146" i="8"/>
  <c r="AA145" i="8"/>
  <c r="AB145" i="8" s="1"/>
  <c r="Z145" i="8"/>
  <c r="AA144" i="8"/>
  <c r="AB144" i="8" s="1"/>
  <c r="Z144" i="8"/>
  <c r="AA141" i="8"/>
  <c r="AB141" i="8" s="1"/>
  <c r="Z141" i="8"/>
  <c r="AA140" i="8"/>
  <c r="AB140" i="8" s="1"/>
  <c r="Z140" i="8"/>
  <c r="AA139" i="8"/>
  <c r="AB139" i="8" s="1"/>
  <c r="Z139" i="8"/>
  <c r="AA138" i="8"/>
  <c r="AB138" i="8" s="1"/>
  <c r="Z138" i="8"/>
  <c r="AA137" i="8"/>
  <c r="AB137" i="8" s="1"/>
  <c r="Z137" i="8"/>
  <c r="AA136" i="8"/>
  <c r="AB136" i="8" s="1"/>
  <c r="Z136" i="8"/>
  <c r="AA135" i="8"/>
  <c r="AB135" i="8" s="1"/>
  <c r="Z135" i="8"/>
  <c r="AA134" i="8"/>
  <c r="AB134" i="8" s="1"/>
  <c r="Z134" i="8"/>
  <c r="AA133" i="8"/>
  <c r="AB133" i="8" s="1"/>
  <c r="Z133" i="8"/>
  <c r="AA131" i="8"/>
  <c r="AB131" i="8" s="1"/>
  <c r="Z131" i="8"/>
  <c r="AA129" i="8"/>
  <c r="AB129" i="8" s="1"/>
  <c r="Z129" i="8"/>
  <c r="AA128" i="8"/>
  <c r="AA127" i="8"/>
  <c r="AB127" i="8" s="1"/>
  <c r="Z127" i="8"/>
  <c r="AA126" i="8"/>
  <c r="AB126" i="8" s="1"/>
  <c r="Z126" i="8"/>
  <c r="AA125" i="8"/>
  <c r="AA124" i="8"/>
  <c r="AB124" i="8" s="1"/>
  <c r="Z124" i="8"/>
  <c r="AA123" i="8"/>
  <c r="AB123" i="8" s="1"/>
  <c r="Z123" i="8"/>
  <c r="AA122" i="8"/>
  <c r="AA118" i="8"/>
  <c r="AA117" i="8"/>
  <c r="AB117" i="8" s="1"/>
  <c r="Z117" i="8"/>
  <c r="AA113" i="8"/>
  <c r="AB113" i="8" s="1"/>
  <c r="Z113" i="8"/>
  <c r="AA111" i="8"/>
  <c r="AB111" i="8" s="1"/>
  <c r="Z111" i="8"/>
  <c r="AA106" i="8"/>
  <c r="AA101" i="8"/>
  <c r="AB101" i="8" s="1"/>
  <c r="Z101" i="8"/>
  <c r="AA100" i="8"/>
  <c r="AB100" i="8" s="1"/>
  <c r="Z100" i="8"/>
  <c r="AA97" i="8"/>
  <c r="AB97" i="8" s="1"/>
  <c r="Z97" i="8"/>
  <c r="AA96" i="8"/>
  <c r="AB96" i="8" s="1"/>
  <c r="Z96" i="8"/>
  <c r="AA92" i="8"/>
  <c r="AB92" i="8" s="1"/>
  <c r="Z92" i="8"/>
  <c r="AA90" i="8"/>
  <c r="AB90" i="8" s="1"/>
  <c r="Z90" i="8"/>
  <c r="AA87" i="8"/>
  <c r="AB87" i="8" s="1"/>
  <c r="Z87" i="8"/>
  <c r="AA86" i="8"/>
  <c r="AB86" i="8" s="1"/>
  <c r="Z86" i="8"/>
  <c r="AA85" i="8"/>
  <c r="AB85" i="8" s="1"/>
  <c r="Z85" i="8"/>
  <c r="AA84" i="8"/>
  <c r="AB84" i="8" s="1"/>
  <c r="Z84" i="8"/>
  <c r="AA83" i="8"/>
  <c r="AB83" i="8" s="1"/>
  <c r="Z83" i="8"/>
  <c r="AA80" i="8"/>
  <c r="Z80" i="8"/>
  <c r="AA71" i="8"/>
  <c r="AB71" i="8" s="1"/>
  <c r="Z71" i="8"/>
  <c r="AA74" i="8"/>
  <c r="AB74" i="8" s="1"/>
  <c r="Z74" i="8"/>
  <c r="AA68" i="8"/>
  <c r="AB68" i="8" s="1"/>
  <c r="Z68" i="8"/>
  <c r="AA66" i="8"/>
  <c r="AB66" i="8" s="1"/>
  <c r="Z66" i="8"/>
  <c r="AA64" i="8"/>
  <c r="AB64" i="8" s="1"/>
  <c r="Z64" i="8"/>
  <c r="AA61" i="8"/>
  <c r="AB61" i="8" s="1"/>
  <c r="Z61" i="8"/>
  <c r="AA58" i="8"/>
  <c r="AB58" i="8" s="1"/>
  <c r="Z58" i="8"/>
  <c r="AA56" i="8"/>
  <c r="AB56" i="8" s="1"/>
  <c r="Z56" i="8"/>
  <c r="AA52" i="8"/>
  <c r="AB52" i="8" s="1"/>
  <c r="Z52" i="8"/>
  <c r="AA50" i="8"/>
  <c r="AB50" i="8" s="1"/>
  <c r="Z50" i="8"/>
  <c r="AA49" i="8"/>
  <c r="AB49" i="8" s="1"/>
  <c r="Z49" i="8"/>
  <c r="AA45" i="8"/>
  <c r="AB45" i="8" s="1"/>
  <c r="Z45" i="8"/>
  <c r="AA44" i="8"/>
  <c r="AB44" i="8" s="1"/>
  <c r="Z44" i="8"/>
  <c r="AA42" i="8"/>
  <c r="AB42" i="8" s="1"/>
  <c r="Z42" i="8"/>
  <c r="AA41" i="8"/>
  <c r="AB41" i="8" s="1"/>
  <c r="Z41" i="8"/>
  <c r="AA39" i="8"/>
  <c r="AB39" i="8" s="1"/>
  <c r="Z39" i="8"/>
  <c r="AA37" i="8"/>
  <c r="AB37" i="8" s="1"/>
  <c r="Z37" i="8"/>
  <c r="AA33" i="8"/>
  <c r="AB33" i="8" s="1"/>
  <c r="Z33" i="8"/>
  <c r="AA27" i="8"/>
  <c r="AB27" i="8" s="1"/>
  <c r="Z27" i="8"/>
  <c r="AA21" i="8"/>
  <c r="AB21" i="8" s="1"/>
  <c r="Z21" i="8"/>
  <c r="AA18" i="8"/>
  <c r="AB18" i="8" s="1"/>
  <c r="Z18" i="8"/>
  <c r="AA13" i="8"/>
  <c r="AB13" i="8" s="1"/>
  <c r="Z13" i="8"/>
  <c r="AA43" i="8"/>
  <c r="AB43" i="8" s="1"/>
  <c r="Z14" i="8"/>
  <c r="AA14" i="8"/>
  <c r="AB14" i="8" s="1"/>
  <c r="Z15" i="8"/>
  <c r="AA15" i="8"/>
  <c r="AB15" i="8" s="1"/>
  <c r="AB80" i="8" l="1"/>
  <c r="Z297" i="8"/>
  <c r="Z296" i="8"/>
  <c r="AB296" i="8" l="1"/>
  <c r="AB297" i="8"/>
  <c r="Z125" i="8" l="1"/>
  <c r="AB125" i="8"/>
  <c r="Q213" i="8"/>
  <c r="Z213" i="8" l="1"/>
  <c r="AB213" i="8"/>
  <c r="Q214" i="8"/>
  <c r="Q212" i="8" s="1"/>
  <c r="Z214" i="8" l="1"/>
  <c r="AB214" i="8"/>
  <c r="Q82" i="8"/>
  <c r="Q228" i="8" l="1"/>
  <c r="Q235" i="8"/>
  <c r="Q234" i="8" s="1"/>
  <c r="Q233" i="8" s="1"/>
  <c r="Q239" i="8"/>
  <c r="Q244" i="8"/>
  <c r="Q248" i="8"/>
  <c r="Q225" i="8"/>
  <c r="Q268" i="8" l="1"/>
  <c r="Q267" i="8" s="1"/>
  <c r="Q261" i="8"/>
  <c r="Q258" i="8" s="1"/>
  <c r="Q207" i="8"/>
  <c r="Q206" i="8" s="1"/>
  <c r="Q198" i="8"/>
  <c r="Q197" i="8" s="1"/>
  <c r="Q257" i="8" l="1"/>
  <c r="Q256" i="8" s="1"/>
  <c r="Z261" i="8"/>
  <c r="AB261" i="8"/>
  <c r="Q211" i="8"/>
  <c r="Q210" i="8" s="1"/>
  <c r="Q57" i="8" l="1"/>
  <c r="AB254" i="8" l="1"/>
  <c r="Q302" i="8" l="1"/>
  <c r="AD330" i="8" l="1"/>
  <c r="Q265" i="8" l="1"/>
  <c r="Q263" i="8"/>
  <c r="Q252" i="8"/>
  <c r="Q128" i="8"/>
  <c r="Q238" i="8"/>
  <c r="Q237" i="8" s="1"/>
  <c r="Q232" i="8" s="1"/>
  <c r="Q188" i="8"/>
  <c r="Q187" i="8" s="1"/>
  <c r="Q186" i="8" s="1"/>
  <c r="Q185" i="8" s="1"/>
  <c r="Q181" i="8"/>
  <c r="Q179" i="8"/>
  <c r="Q178" i="8" s="1"/>
  <c r="Q175" i="8"/>
  <c r="Q174" i="8" s="1"/>
  <c r="Q171" i="8"/>
  <c r="Q170" i="8" s="1"/>
  <c r="Q167" i="8"/>
  <c r="Q166" i="8" s="1"/>
  <c r="Q159" i="8"/>
  <c r="Q154" i="8"/>
  <c r="Q152" i="8"/>
  <c r="Q147" i="8"/>
  <c r="Q130" i="8"/>
  <c r="Q122" i="8"/>
  <c r="Q118" i="8"/>
  <c r="Q112" i="8"/>
  <c r="Q110" i="8"/>
  <c r="Q103" i="8"/>
  <c r="Q102" i="8" s="1"/>
  <c r="Q99" i="8"/>
  <c r="Q95" i="8"/>
  <c r="Q91" i="8"/>
  <c r="Q89" i="8"/>
  <c r="Q88" i="8" s="1"/>
  <c r="Q81" i="8"/>
  <c r="Q79" i="8"/>
  <c r="Q78" i="8" s="1"/>
  <c r="Q73" i="8"/>
  <c r="Q70" i="8"/>
  <c r="Q69" i="8" s="1"/>
  <c r="Q67" i="8"/>
  <c r="Q65" i="8"/>
  <c r="Q63" i="8"/>
  <c r="Q60" i="8"/>
  <c r="Q59" i="8" s="1"/>
  <c r="Q55" i="8"/>
  <c r="Q48" i="8"/>
  <c r="Z43" i="8"/>
  <c r="Q40" i="8"/>
  <c r="Q38" i="8"/>
  <c r="Q36" i="8"/>
  <c r="Q32" i="8"/>
  <c r="Q31" i="8" s="1"/>
  <c r="Q30" i="8" s="1"/>
  <c r="Q26" i="8"/>
  <c r="Q25" i="8" s="1"/>
  <c r="Q24" i="8" s="1"/>
  <c r="Q23" i="8" s="1"/>
  <c r="Q22" i="8" s="1"/>
  <c r="Q9" i="8" s="1"/>
  <c r="Q8" i="8" s="1"/>
  <c r="S353" i="5"/>
  <c r="S352" i="5"/>
  <c r="S351" i="5"/>
  <c r="R351" i="5"/>
  <c r="AD343" i="5"/>
  <c r="AC343" i="5"/>
  <c r="AB343" i="5"/>
  <c r="AA343" i="5"/>
  <c r="AD341" i="5"/>
  <c r="AC341" i="5"/>
  <c r="AB341" i="5"/>
  <c r="AA341" i="5"/>
  <c r="Z341" i="5"/>
  <c r="R329" i="5"/>
  <c r="S328" i="5"/>
  <c r="R328" i="5"/>
  <c r="AD324" i="5"/>
  <c r="AC324" i="5"/>
  <c r="AB324" i="5"/>
  <c r="AA324" i="5"/>
  <c r="AD323" i="5"/>
  <c r="AC323" i="5"/>
  <c r="AB323" i="5"/>
  <c r="AA323" i="5"/>
  <c r="R323" i="5"/>
  <c r="R320" i="5"/>
  <c r="R319" i="5"/>
  <c r="R318" i="5"/>
  <c r="Q318" i="5"/>
  <c r="R317" i="5"/>
  <c r="Q317" i="5"/>
  <c r="R316" i="5"/>
  <c r="Q316" i="5"/>
  <c r="R314" i="5"/>
  <c r="R312" i="5"/>
  <c r="R311" i="5"/>
  <c r="Q311" i="5"/>
  <c r="R309" i="5"/>
  <c r="AD308" i="5"/>
  <c r="AC308" i="5"/>
  <c r="AB308" i="5"/>
  <c r="AA308" i="5"/>
  <c r="R307" i="5"/>
  <c r="AD306" i="5"/>
  <c r="AC306" i="5"/>
  <c r="AB306" i="5"/>
  <c r="AA306" i="5"/>
  <c r="R305" i="5"/>
  <c r="R304" i="5"/>
  <c r="Q304" i="5"/>
  <c r="R303" i="5"/>
  <c r="Q303" i="5"/>
  <c r="R302" i="5"/>
  <c r="Q302" i="5"/>
  <c r="AD301" i="5"/>
  <c r="AC301" i="5"/>
  <c r="AB301" i="5"/>
  <c r="AA301" i="5"/>
  <c r="R301" i="5"/>
  <c r="R300" i="5"/>
  <c r="AD299" i="5"/>
  <c r="AC299" i="5"/>
  <c r="AB299" i="5"/>
  <c r="AA299" i="5"/>
  <c r="Z299" i="5"/>
  <c r="Y299" i="5"/>
  <c r="X299" i="5"/>
  <c r="R298" i="5"/>
  <c r="R297" i="5"/>
  <c r="Q297" i="5"/>
  <c r="AD296" i="5"/>
  <c r="AC296" i="5"/>
  <c r="AB296" i="5"/>
  <c r="AA296" i="5"/>
  <c r="R295" i="5"/>
  <c r="R293" i="5"/>
  <c r="R292" i="5"/>
  <c r="Q292" i="5"/>
  <c r="R290" i="5"/>
  <c r="R289" i="5"/>
  <c r="Q289" i="5"/>
  <c r="R288" i="5"/>
  <c r="Q288" i="5"/>
  <c r="R286" i="5"/>
  <c r="R285" i="5"/>
  <c r="Q285" i="5"/>
  <c r="AD284" i="5"/>
  <c r="AC284" i="5"/>
  <c r="AB284" i="5"/>
  <c r="AA284" i="5"/>
  <c r="R284" i="5"/>
  <c r="AD283" i="5"/>
  <c r="AC283" i="5"/>
  <c r="AB283" i="5"/>
  <c r="AA283" i="5"/>
  <c r="AD282" i="5"/>
  <c r="AC282" i="5"/>
  <c r="AB282" i="5"/>
  <c r="AA282" i="5"/>
  <c r="R280" i="5"/>
  <c r="Q280" i="5"/>
  <c r="R279" i="5"/>
  <c r="Q279" i="5"/>
  <c r="R278" i="5"/>
  <c r="Q278" i="5"/>
  <c r="AD277" i="5"/>
  <c r="AC277" i="5"/>
  <c r="AB277" i="5"/>
  <c r="AA277" i="5"/>
  <c r="R276" i="5"/>
  <c r="Q276" i="5"/>
  <c r="R275" i="5"/>
  <c r="Q275" i="5"/>
  <c r="AD274" i="5"/>
  <c r="AC274" i="5"/>
  <c r="AB274" i="5"/>
  <c r="AA274" i="5"/>
  <c r="X274" i="5"/>
  <c r="AD273" i="5"/>
  <c r="AC273" i="5"/>
  <c r="AB273" i="5"/>
  <c r="AA273" i="5"/>
  <c r="R272" i="5"/>
  <c r="R271" i="5"/>
  <c r="Q271" i="5"/>
  <c r="R270" i="5"/>
  <c r="Q270" i="5"/>
  <c r="S269" i="5"/>
  <c r="R269" i="5"/>
  <c r="Q269" i="5"/>
  <c r="R267" i="5"/>
  <c r="R266" i="5"/>
  <c r="Q266" i="5"/>
  <c r="R265" i="5"/>
  <c r="Q265" i="5"/>
  <c r="AD264" i="5"/>
  <c r="AC264" i="5"/>
  <c r="AB264" i="5"/>
  <c r="AA264" i="5"/>
  <c r="R263" i="5"/>
  <c r="R262" i="5"/>
  <c r="R261" i="5"/>
  <c r="R260" i="5"/>
  <c r="Q260" i="5"/>
  <c r="AD259" i="5"/>
  <c r="AC259" i="5"/>
  <c r="AB259" i="5"/>
  <c r="AA259" i="5"/>
  <c r="R259" i="5"/>
  <c r="AD258" i="5"/>
  <c r="AC258" i="5"/>
  <c r="AB258" i="5"/>
  <c r="AA258" i="5"/>
  <c r="R257" i="5"/>
  <c r="Q257" i="5"/>
  <c r="AD256" i="5"/>
  <c r="AC256" i="5"/>
  <c r="AB256" i="5"/>
  <c r="AA256" i="5"/>
  <c r="AD254" i="5"/>
  <c r="AC254" i="5"/>
  <c r="AB254" i="5"/>
  <c r="AA254" i="5"/>
  <c r="R253" i="5"/>
  <c r="AD252" i="5"/>
  <c r="AC252" i="5"/>
  <c r="AB252" i="5"/>
  <c r="AA252" i="5"/>
  <c r="AD251" i="5"/>
  <c r="AC251" i="5"/>
  <c r="AB251" i="5"/>
  <c r="AA251" i="5"/>
  <c r="AD250" i="5"/>
  <c r="AC250" i="5"/>
  <c r="AB250" i="5"/>
  <c r="AA250" i="5"/>
  <c r="AD249" i="5"/>
  <c r="AC249" i="5"/>
  <c r="AB249" i="5"/>
  <c r="AA249" i="5"/>
  <c r="R249" i="5"/>
  <c r="AD248" i="5"/>
  <c r="AC248" i="5"/>
  <c r="AB248" i="5"/>
  <c r="AA248" i="5"/>
  <c r="Z248" i="5"/>
  <c r="Y248" i="5"/>
  <c r="X248" i="5"/>
  <c r="R248" i="5"/>
  <c r="AD247" i="5"/>
  <c r="AC247" i="5"/>
  <c r="AB247" i="5"/>
  <c r="AA247" i="5"/>
  <c r="AD246" i="5"/>
  <c r="AC246" i="5"/>
  <c r="AB246" i="5"/>
  <c r="AA246" i="5"/>
  <c r="AD245" i="5"/>
  <c r="AC245" i="5"/>
  <c r="AB245" i="5"/>
  <c r="AA245" i="5"/>
  <c r="AD244" i="5"/>
  <c r="AC244" i="5"/>
  <c r="AB244" i="5"/>
  <c r="AA244" i="5"/>
  <c r="AD243" i="5"/>
  <c r="AC243" i="5"/>
  <c r="AB243" i="5"/>
  <c r="AA243" i="5"/>
  <c r="R242" i="5"/>
  <c r="Q242" i="5"/>
  <c r="R241" i="5"/>
  <c r="Q241" i="5"/>
  <c r="R240" i="5"/>
  <c r="Q240" i="5"/>
  <c r="R239" i="5"/>
  <c r="Q239" i="5"/>
  <c r="AD238" i="5"/>
  <c r="AC238" i="5"/>
  <c r="AB238" i="5"/>
  <c r="AA238" i="5"/>
  <c r="R238" i="5"/>
  <c r="R237" i="5"/>
  <c r="R236" i="5"/>
  <c r="Q236" i="5"/>
  <c r="AD235" i="5"/>
  <c r="AC235" i="5"/>
  <c r="AB235" i="5"/>
  <c r="AA235" i="5"/>
  <c r="R234" i="5"/>
  <c r="R233" i="5"/>
  <c r="Q233" i="5"/>
  <c r="R230" i="5"/>
  <c r="R229" i="5"/>
  <c r="Q229" i="5"/>
  <c r="AD228" i="5"/>
  <c r="AC228" i="5"/>
  <c r="AB228" i="5"/>
  <c r="AA228" i="5"/>
  <c r="R228" i="5"/>
  <c r="R227" i="5"/>
  <c r="R226" i="5"/>
  <c r="Q226" i="5"/>
  <c r="AD225" i="5"/>
  <c r="AC225" i="5"/>
  <c r="AB225" i="5"/>
  <c r="AA225" i="5"/>
  <c r="R225" i="5"/>
  <c r="R224" i="5"/>
  <c r="R223" i="5"/>
  <c r="Q223" i="5"/>
  <c r="AD222" i="5"/>
  <c r="AC222" i="5"/>
  <c r="AB222" i="5"/>
  <c r="AA222" i="5"/>
  <c r="R221" i="5"/>
  <c r="R220" i="5"/>
  <c r="Q220" i="5"/>
  <c r="R219" i="5"/>
  <c r="Q219" i="5"/>
  <c r="AD218" i="5"/>
  <c r="AC218" i="5"/>
  <c r="AB218" i="5"/>
  <c r="AA218" i="5"/>
  <c r="R217" i="5"/>
  <c r="R216" i="5"/>
  <c r="Q216" i="5"/>
  <c r="R215" i="5"/>
  <c r="Q215" i="5"/>
  <c r="R214" i="5"/>
  <c r="Q214" i="5"/>
  <c r="R213" i="5"/>
  <c r="Q213" i="5"/>
  <c r="R212" i="5"/>
  <c r="Q212" i="5"/>
  <c r="AD211" i="5"/>
  <c r="AC211" i="5"/>
  <c r="AB211" i="5"/>
  <c r="AA211" i="5"/>
  <c r="R210" i="5"/>
  <c r="AD209" i="5"/>
  <c r="AC209" i="5"/>
  <c r="AB209" i="5"/>
  <c r="AA209" i="5"/>
  <c r="R208" i="5"/>
  <c r="R206" i="5"/>
  <c r="Q206" i="5"/>
  <c r="AD205" i="5"/>
  <c r="AC205" i="5"/>
  <c r="AB205" i="5"/>
  <c r="AA205" i="5"/>
  <c r="R205" i="5"/>
  <c r="R204" i="5"/>
  <c r="R203" i="5"/>
  <c r="Q203" i="5"/>
  <c r="AD202" i="5"/>
  <c r="AC202" i="5"/>
  <c r="AB202" i="5"/>
  <c r="AA202" i="5"/>
  <c r="R201" i="5"/>
  <c r="R200" i="5"/>
  <c r="Q200" i="5"/>
  <c r="AD199" i="5"/>
  <c r="AC199" i="5"/>
  <c r="AB199" i="5"/>
  <c r="AA199" i="5"/>
  <c r="AD198" i="5"/>
  <c r="AC198" i="5"/>
  <c r="AB198" i="5"/>
  <c r="AA198" i="5"/>
  <c r="AD197" i="5"/>
  <c r="AC197" i="5"/>
  <c r="AB197" i="5"/>
  <c r="AA197" i="5"/>
  <c r="AD196" i="5"/>
  <c r="AC196" i="5"/>
  <c r="AB196" i="5"/>
  <c r="AA196" i="5"/>
  <c r="AD195" i="5"/>
  <c r="AC195" i="5"/>
  <c r="AB195" i="5"/>
  <c r="AA195" i="5"/>
  <c r="AD194" i="5"/>
  <c r="AC194" i="5"/>
  <c r="AB194" i="5"/>
  <c r="AA194" i="5"/>
  <c r="R194" i="5"/>
  <c r="R193" i="5"/>
  <c r="R192" i="5"/>
  <c r="Q192" i="5"/>
  <c r="R191" i="5"/>
  <c r="Q191" i="5"/>
  <c r="AD190" i="5"/>
  <c r="AC190" i="5"/>
  <c r="AB190" i="5"/>
  <c r="AA190" i="5"/>
  <c r="Y190" i="5"/>
  <c r="X190" i="5"/>
  <c r="R189" i="5"/>
  <c r="AD188" i="5"/>
  <c r="AC188" i="5"/>
  <c r="AB188" i="5"/>
  <c r="AA188" i="5"/>
  <c r="AD187" i="5"/>
  <c r="AC187" i="5"/>
  <c r="AB187" i="5"/>
  <c r="AA187" i="5"/>
  <c r="AD186" i="5"/>
  <c r="AC186" i="5"/>
  <c r="AB186" i="5"/>
  <c r="AA186" i="5"/>
  <c r="AD185" i="5"/>
  <c r="AC185" i="5"/>
  <c r="AB185" i="5"/>
  <c r="AA185" i="5"/>
  <c r="AD184" i="5"/>
  <c r="AC184" i="5"/>
  <c r="AB184" i="5"/>
  <c r="AA184" i="5"/>
  <c r="AD183" i="5"/>
  <c r="AC183" i="5"/>
  <c r="AB183" i="5"/>
  <c r="AA183" i="5"/>
  <c r="R182" i="5"/>
  <c r="AD181" i="5"/>
  <c r="AC181" i="5"/>
  <c r="AB181" i="5"/>
  <c r="AA181" i="5"/>
  <c r="R180" i="5"/>
  <c r="Q180" i="5"/>
  <c r="R179" i="5"/>
  <c r="Q179" i="5"/>
  <c r="R178" i="5"/>
  <c r="Q178" i="5"/>
  <c r="AD177" i="5"/>
  <c r="AC177" i="5"/>
  <c r="AB177" i="5"/>
  <c r="AA177" i="5"/>
  <c r="AD176" i="5"/>
  <c r="AC176" i="5"/>
  <c r="AB176" i="5"/>
  <c r="AA176" i="5"/>
  <c r="R175" i="5"/>
  <c r="AD174" i="5"/>
  <c r="AC174" i="5"/>
  <c r="AB174" i="5"/>
  <c r="AA174" i="5"/>
  <c r="AD173" i="5"/>
  <c r="AC173" i="5"/>
  <c r="AB173" i="5"/>
  <c r="AA173" i="5"/>
  <c r="AD172" i="5"/>
  <c r="AC172" i="5"/>
  <c r="AB172" i="5"/>
  <c r="AA172" i="5"/>
  <c r="Z172" i="5"/>
  <c r="Y172" i="5"/>
  <c r="X172" i="5"/>
  <c r="R171" i="5"/>
  <c r="R170" i="5"/>
  <c r="Q170" i="5"/>
  <c r="AD169" i="5"/>
  <c r="AC169" i="5"/>
  <c r="AB169" i="5"/>
  <c r="AA169" i="5"/>
  <c r="R168" i="5"/>
  <c r="AD167" i="5"/>
  <c r="AC167" i="5"/>
  <c r="AB167" i="5"/>
  <c r="AA167" i="5"/>
  <c r="R166" i="5"/>
  <c r="AD165" i="5"/>
  <c r="AC165" i="5"/>
  <c r="AB165" i="5"/>
  <c r="AA165" i="5"/>
  <c r="AD164" i="5"/>
  <c r="AC164" i="5"/>
  <c r="AB164" i="5"/>
  <c r="AA164" i="5"/>
  <c r="AD163" i="5"/>
  <c r="AC163" i="5"/>
  <c r="AB163" i="5"/>
  <c r="AA163" i="5"/>
  <c r="AD162" i="5"/>
  <c r="AC162" i="5"/>
  <c r="AB162" i="5"/>
  <c r="AA162" i="5"/>
  <c r="AD161" i="5"/>
  <c r="AC161" i="5"/>
  <c r="AB161" i="5"/>
  <c r="AA161" i="5"/>
  <c r="AD160" i="5"/>
  <c r="AC160" i="5"/>
  <c r="AB160" i="5"/>
  <c r="AA160" i="5"/>
  <c r="AD159" i="5"/>
  <c r="AC159" i="5"/>
  <c r="AB159" i="5"/>
  <c r="AA159" i="5"/>
  <c r="AD158" i="5"/>
  <c r="AC158" i="5"/>
  <c r="AB158" i="5"/>
  <c r="AA158" i="5"/>
  <c r="AD157" i="5"/>
  <c r="AC157" i="5"/>
  <c r="AB157" i="5"/>
  <c r="AA157" i="5"/>
  <c r="AD156" i="5"/>
  <c r="AC156" i="5"/>
  <c r="AB156" i="5"/>
  <c r="AA156" i="5"/>
  <c r="AD155" i="5"/>
  <c r="AC155" i="5"/>
  <c r="AB155" i="5"/>
  <c r="AA155" i="5"/>
  <c r="R154" i="5"/>
  <c r="AD153" i="5"/>
  <c r="AC153" i="5"/>
  <c r="AB153" i="5"/>
  <c r="AA153" i="5"/>
  <c r="R152" i="5"/>
  <c r="AD151" i="5"/>
  <c r="AC151" i="5"/>
  <c r="AB151" i="5"/>
  <c r="AA151" i="5"/>
  <c r="AD150" i="5"/>
  <c r="AC150" i="5"/>
  <c r="AB150" i="5"/>
  <c r="AA150" i="5"/>
  <c r="AD149" i="5"/>
  <c r="AC149" i="5"/>
  <c r="AB149" i="5"/>
  <c r="AA149" i="5"/>
  <c r="AD148" i="5"/>
  <c r="AC148" i="5"/>
  <c r="AB148" i="5"/>
  <c r="AA148" i="5"/>
  <c r="AD147" i="5"/>
  <c r="AC147" i="5"/>
  <c r="AB147" i="5"/>
  <c r="AA147" i="5"/>
  <c r="AD146" i="5"/>
  <c r="AC146" i="5"/>
  <c r="AB146" i="5"/>
  <c r="AA146" i="5"/>
  <c r="AD145" i="5"/>
  <c r="AC145" i="5"/>
  <c r="AB145" i="5"/>
  <c r="AA145" i="5"/>
  <c r="AD144" i="5"/>
  <c r="AC144" i="5"/>
  <c r="AB144" i="5"/>
  <c r="AA144" i="5"/>
  <c r="R143" i="5"/>
  <c r="Q143" i="5"/>
  <c r="R142" i="5"/>
  <c r="Q142" i="5"/>
  <c r="R141" i="5"/>
  <c r="Q141" i="5"/>
  <c r="AD140" i="5"/>
  <c r="AC140" i="5"/>
  <c r="AB140" i="5"/>
  <c r="AA140" i="5"/>
  <c r="AD139" i="5"/>
  <c r="AC139" i="5"/>
  <c r="AB139" i="5"/>
  <c r="AA139" i="5"/>
  <c r="R138" i="5"/>
  <c r="AD137" i="5"/>
  <c r="AC137" i="5"/>
  <c r="AB137" i="5"/>
  <c r="AA137" i="5"/>
  <c r="AD136" i="5"/>
  <c r="AC136" i="5"/>
  <c r="AB136" i="5"/>
  <c r="AA136" i="5"/>
  <c r="R135" i="5"/>
  <c r="Q135" i="5"/>
  <c r="R134" i="5"/>
  <c r="Q134" i="5"/>
  <c r="R133" i="5"/>
  <c r="Q133" i="5"/>
  <c r="R131" i="5"/>
  <c r="AD130" i="5"/>
  <c r="AC130" i="5"/>
  <c r="AB130" i="5"/>
  <c r="AA130" i="5"/>
  <c r="Y130" i="5"/>
  <c r="X130" i="5"/>
  <c r="R129" i="5"/>
  <c r="R128" i="5"/>
  <c r="Q128" i="5"/>
  <c r="R127" i="5"/>
  <c r="Q127" i="5"/>
  <c r="R126" i="5"/>
  <c r="Q126" i="5"/>
  <c r="R125" i="5"/>
  <c r="Q125" i="5"/>
  <c r="AD124" i="5"/>
  <c r="AC124" i="5"/>
  <c r="AB124" i="5"/>
  <c r="AA124" i="5"/>
  <c r="R124" i="5"/>
  <c r="AD123" i="5"/>
  <c r="AC123" i="5"/>
  <c r="AB123" i="5"/>
  <c r="AA123" i="5"/>
  <c r="R123" i="5"/>
  <c r="R122" i="5"/>
  <c r="R121" i="5"/>
  <c r="Q121" i="5"/>
  <c r="AD120" i="5"/>
  <c r="AC120" i="5"/>
  <c r="AB120" i="5"/>
  <c r="AA120" i="5"/>
  <c r="X120" i="5"/>
  <c r="AD119" i="5"/>
  <c r="AC119" i="5"/>
  <c r="AB119" i="5"/>
  <c r="AA119" i="5"/>
  <c r="R118" i="5"/>
  <c r="AD117" i="5"/>
  <c r="AC117" i="5"/>
  <c r="AB117" i="5"/>
  <c r="AA117" i="5"/>
  <c r="Y117" i="5"/>
  <c r="X117" i="5"/>
  <c r="AD116" i="5"/>
  <c r="AC116" i="5"/>
  <c r="AB116" i="5"/>
  <c r="AA116" i="5"/>
  <c r="AD115" i="5"/>
  <c r="AC115" i="5"/>
  <c r="AB115" i="5"/>
  <c r="AA115" i="5"/>
  <c r="R114" i="5"/>
  <c r="R113" i="5"/>
  <c r="Q113" i="5"/>
  <c r="AD112" i="5"/>
  <c r="AC112" i="5"/>
  <c r="AB112" i="5"/>
  <c r="AA112" i="5"/>
  <c r="R111" i="5"/>
  <c r="R110" i="5"/>
  <c r="Q110" i="5"/>
  <c r="R109" i="5"/>
  <c r="Q109" i="5"/>
  <c r="R108" i="5"/>
  <c r="Q108" i="5"/>
  <c r="AD107" i="5"/>
  <c r="AC107" i="5"/>
  <c r="AB107" i="5"/>
  <c r="AA107" i="5"/>
  <c r="R106" i="5"/>
  <c r="AD105" i="5"/>
  <c r="AC105" i="5"/>
  <c r="AB105" i="5"/>
  <c r="AA105" i="5"/>
  <c r="AD104" i="5"/>
  <c r="AC104" i="5"/>
  <c r="AB104" i="5"/>
  <c r="AA104" i="5"/>
  <c r="R103" i="5"/>
  <c r="R102" i="5"/>
  <c r="Q102" i="5"/>
  <c r="AD101" i="5"/>
  <c r="AC101" i="5"/>
  <c r="AB101" i="5"/>
  <c r="AA101" i="5"/>
  <c r="AD100" i="5"/>
  <c r="AC100" i="5"/>
  <c r="AB100" i="5"/>
  <c r="AA100" i="5"/>
  <c r="AD99" i="5"/>
  <c r="AC99" i="5"/>
  <c r="AB99" i="5"/>
  <c r="AA99" i="5"/>
  <c r="R98" i="5"/>
  <c r="R97" i="5"/>
  <c r="Q97" i="5"/>
  <c r="AD96" i="5"/>
  <c r="AC96" i="5"/>
  <c r="AB96" i="5"/>
  <c r="AA96" i="5"/>
  <c r="R95" i="5"/>
  <c r="R94" i="5"/>
  <c r="Q94" i="5"/>
  <c r="AD93" i="5"/>
  <c r="AC93" i="5"/>
  <c r="AB93" i="5"/>
  <c r="AA93" i="5"/>
  <c r="AD92" i="5"/>
  <c r="AC92" i="5"/>
  <c r="AB92" i="5"/>
  <c r="AA92" i="5"/>
  <c r="R91" i="5"/>
  <c r="R90" i="5"/>
  <c r="Q90" i="5"/>
  <c r="AD89" i="5"/>
  <c r="AC89" i="5"/>
  <c r="AB89" i="5"/>
  <c r="AA89" i="5"/>
  <c r="AD88" i="5"/>
  <c r="AC88" i="5"/>
  <c r="AB88" i="5"/>
  <c r="AA88" i="5"/>
  <c r="R88" i="5"/>
  <c r="AD87" i="5"/>
  <c r="AC87" i="5"/>
  <c r="AB87" i="5"/>
  <c r="AA87" i="5"/>
  <c r="R86" i="5"/>
  <c r="R85" i="5"/>
  <c r="Q85" i="5"/>
  <c r="AD84" i="5"/>
  <c r="AC84" i="5"/>
  <c r="AB84" i="5"/>
  <c r="AA84" i="5"/>
  <c r="X84" i="5"/>
  <c r="R83" i="5"/>
  <c r="R82" i="5"/>
  <c r="Q82" i="5"/>
  <c r="AD81" i="5"/>
  <c r="AC81" i="5"/>
  <c r="AB81" i="5"/>
  <c r="AA81" i="5"/>
  <c r="R81" i="5"/>
  <c r="R80" i="5"/>
  <c r="AD79" i="5"/>
  <c r="AC79" i="5"/>
  <c r="AB79" i="5"/>
  <c r="AA79" i="5"/>
  <c r="R78" i="5"/>
  <c r="AD77" i="5"/>
  <c r="AC77" i="5"/>
  <c r="AB77" i="5"/>
  <c r="AA77" i="5"/>
  <c r="R76" i="5"/>
  <c r="AD75" i="5"/>
  <c r="AC75" i="5"/>
  <c r="AB75" i="5"/>
  <c r="AA75" i="5"/>
  <c r="R74" i="5"/>
  <c r="R73" i="5"/>
  <c r="Q73" i="5"/>
  <c r="AD72" i="5"/>
  <c r="AC72" i="5"/>
  <c r="AB72" i="5"/>
  <c r="AA72" i="5"/>
  <c r="R72" i="5"/>
  <c r="R71" i="5"/>
  <c r="AD70" i="5"/>
  <c r="AC70" i="5"/>
  <c r="AB70" i="5"/>
  <c r="AA70" i="5"/>
  <c r="R70" i="5"/>
  <c r="R69" i="5"/>
  <c r="R68" i="5"/>
  <c r="Q68" i="5"/>
  <c r="AD67" i="5"/>
  <c r="AC67" i="5"/>
  <c r="AB67" i="5"/>
  <c r="AA67" i="5"/>
  <c r="R67" i="5"/>
  <c r="R66" i="5"/>
  <c r="R65" i="5"/>
  <c r="Q65" i="5"/>
  <c r="AD64" i="5"/>
  <c r="AC64" i="5"/>
  <c r="AB64" i="5"/>
  <c r="AA64" i="5"/>
  <c r="R63" i="5"/>
  <c r="AD62" i="5"/>
  <c r="AC62" i="5"/>
  <c r="AB62" i="5"/>
  <c r="AA62" i="5"/>
  <c r="R61" i="5"/>
  <c r="R60" i="5"/>
  <c r="Q60" i="5"/>
  <c r="AD59" i="5"/>
  <c r="AC59" i="5"/>
  <c r="AB59" i="5"/>
  <c r="AA59" i="5"/>
  <c r="X59" i="5"/>
  <c r="AD58" i="5"/>
  <c r="AC58" i="5"/>
  <c r="AB58" i="5"/>
  <c r="AA58" i="5"/>
  <c r="R57" i="5"/>
  <c r="AD56" i="5"/>
  <c r="AC56" i="5"/>
  <c r="AB56" i="5"/>
  <c r="AA56" i="5"/>
  <c r="R56" i="5"/>
  <c r="AD55" i="5"/>
  <c r="AC55" i="5"/>
  <c r="AB55" i="5"/>
  <c r="AA55" i="5"/>
  <c r="R54" i="5"/>
  <c r="R53" i="5"/>
  <c r="Q53" i="5"/>
  <c r="R52" i="5"/>
  <c r="Q52" i="5"/>
  <c r="AD51" i="5"/>
  <c r="AC51" i="5"/>
  <c r="AB51" i="5"/>
  <c r="AA51" i="5"/>
  <c r="AD50" i="5"/>
  <c r="AC50" i="5"/>
  <c r="AB50" i="5"/>
  <c r="AA50" i="5"/>
  <c r="R49" i="5"/>
  <c r="Q49" i="5"/>
  <c r="AD48" i="5"/>
  <c r="AC48" i="5"/>
  <c r="AB48" i="5"/>
  <c r="AA48" i="5"/>
  <c r="AD47" i="5"/>
  <c r="AC47" i="5"/>
  <c r="AB47" i="5"/>
  <c r="AA47" i="5"/>
  <c r="AD46" i="5"/>
  <c r="AC46" i="5"/>
  <c r="AB46" i="5"/>
  <c r="AA46" i="5"/>
  <c r="R46" i="5"/>
  <c r="R45" i="5"/>
  <c r="R44" i="5"/>
  <c r="R43" i="5"/>
  <c r="AD42" i="5"/>
  <c r="AC42" i="5"/>
  <c r="AB42" i="5"/>
  <c r="AA42" i="5"/>
  <c r="R42" i="5"/>
  <c r="R41" i="5"/>
  <c r="R40" i="5"/>
  <c r="Q40" i="5"/>
  <c r="AD39" i="5"/>
  <c r="AC39" i="5"/>
  <c r="AB39" i="5"/>
  <c r="AA39" i="5"/>
  <c r="R39" i="5"/>
  <c r="R38" i="5"/>
  <c r="R37" i="5"/>
  <c r="Q37" i="5"/>
  <c r="AD36" i="5"/>
  <c r="AC36" i="5"/>
  <c r="AB36" i="5"/>
  <c r="AA36" i="5"/>
  <c r="R36" i="5"/>
  <c r="R35" i="5"/>
  <c r="R34" i="5"/>
  <c r="Q34" i="5"/>
  <c r="R33" i="5"/>
  <c r="Q33" i="5"/>
  <c r="R32" i="5"/>
  <c r="Q32" i="5"/>
  <c r="R31" i="5"/>
  <c r="Q31" i="5"/>
  <c r="AD30" i="5"/>
  <c r="AC30" i="5"/>
  <c r="AB30" i="5"/>
  <c r="AA30" i="5"/>
  <c r="AD29" i="5"/>
  <c r="AC29" i="5"/>
  <c r="AB29" i="5"/>
  <c r="AA29" i="5"/>
  <c r="R29" i="5"/>
  <c r="R28" i="5"/>
  <c r="R27" i="5"/>
  <c r="Q27" i="5"/>
  <c r="R26" i="5"/>
  <c r="Q26" i="5"/>
  <c r="R25" i="5"/>
  <c r="Q25" i="5"/>
  <c r="R24" i="5"/>
  <c r="Q24" i="5"/>
  <c r="AD18" i="5"/>
  <c r="AC18" i="5"/>
  <c r="AB18" i="5"/>
  <c r="AA18" i="5"/>
  <c r="R17" i="5"/>
  <c r="R16" i="5"/>
  <c r="Q16" i="5"/>
  <c r="AD15" i="5"/>
  <c r="AC15" i="5"/>
  <c r="AB15" i="5"/>
  <c r="R15" i="5"/>
  <c r="R14" i="5"/>
  <c r="AD13" i="5"/>
  <c r="AC13" i="5"/>
  <c r="AB13" i="5"/>
  <c r="AA13" i="5"/>
  <c r="R12" i="5"/>
  <c r="R11" i="5"/>
  <c r="Q11" i="5"/>
  <c r="R10" i="5"/>
  <c r="Q10" i="5"/>
  <c r="R9" i="5"/>
  <c r="Q9" i="5"/>
  <c r="R8" i="5"/>
  <c r="Q8" i="5"/>
  <c r="R7" i="5"/>
  <c r="Q7" i="5"/>
  <c r="P7" i="5"/>
  <c r="O7" i="5"/>
  <c r="Q72" i="8" l="1"/>
  <c r="Q121" i="8"/>
  <c r="Z122" i="8"/>
  <c r="AB122" i="8"/>
  <c r="Q285" i="8"/>
  <c r="Q284" i="8" s="1"/>
  <c r="Q283" i="8" s="1"/>
  <c r="Z291" i="8"/>
  <c r="AB291" i="8"/>
  <c r="Z294" i="8"/>
  <c r="AB294" i="8"/>
  <c r="AB298" i="8"/>
  <c r="Z298" i="8"/>
  <c r="Q243" i="8"/>
  <c r="Q242" i="8" s="1"/>
  <c r="Z128" i="8"/>
  <c r="AB128" i="8"/>
  <c r="Z299" i="8"/>
  <c r="AB299" i="8"/>
  <c r="Z252" i="8"/>
  <c r="AB252" i="8"/>
  <c r="Z300" i="8"/>
  <c r="AB300" i="8"/>
  <c r="Q116" i="8"/>
  <c r="Q115" i="8" s="1"/>
  <c r="Z118" i="8"/>
  <c r="AB118" i="8"/>
  <c r="Z301" i="8"/>
  <c r="AB301" i="8"/>
  <c r="Q120" i="8"/>
  <c r="Q119" i="8" s="1"/>
  <c r="Q251" i="8"/>
  <c r="Q247" i="8" s="1"/>
  <c r="Q262" i="8"/>
  <c r="Q142" i="8"/>
  <c r="Q109" i="8"/>
  <c r="Q108" i="8" s="1"/>
  <c r="Q107" i="8" s="1"/>
  <c r="Q106" i="8" s="1"/>
  <c r="Q47" i="8"/>
  <c r="Q151" i="8"/>
  <c r="Q150" i="8" s="1"/>
  <c r="Q35" i="8"/>
  <c r="Q34" i="8" s="1"/>
  <c r="Q94" i="8"/>
  <c r="Q54" i="8"/>
  <c r="Q62" i="8"/>
  <c r="Q165" i="8"/>
  <c r="Q241" i="8" l="1"/>
  <c r="Q209" i="8" s="1"/>
  <c r="Q184" i="8" s="1"/>
  <c r="Q183" i="8" s="1"/>
  <c r="T183" i="8" s="1"/>
  <c r="S285" i="8"/>
  <c r="AB106" i="8"/>
  <c r="Z106" i="8"/>
  <c r="Q282" i="8"/>
  <c r="Q281" i="8" s="1"/>
  <c r="Q46" i="8"/>
  <c r="Q29" i="8" s="1"/>
  <c r="Q114" i="8"/>
  <c r="Q93" i="8" s="1"/>
  <c r="Q28" i="8" l="1"/>
  <c r="Q7" i="8" l="1"/>
  <c r="T320" i="8" s="1"/>
</calcChain>
</file>

<file path=xl/comments1.xml><?xml version="1.0" encoding="utf-8"?>
<comments xmlns="http://schemas.openxmlformats.org/spreadsheetml/2006/main">
  <authors>
    <author>Jairo Adriano Arteaga Velasquez</author>
    <author>Juan Buitrago</author>
    <author>Angie Dayana Hernandez Lobaton</author>
  </authors>
  <commentList>
    <comment ref="K6" authorId="0" shapeId="0">
      <text>
        <r>
          <rPr>
            <b/>
            <sz val="9"/>
            <color indexed="81"/>
            <rFont val="Tahoma"/>
            <family val="2"/>
          </rPr>
          <t>Jairo Adriano Arteaga Velasquez:</t>
        </r>
        <r>
          <rPr>
            <sz val="9"/>
            <color indexed="81"/>
            <rFont val="Tahoma"/>
            <family val="2"/>
          </rPr>
          <t xml:space="preserve">
Consulte este código del elemento a adquirir en la página web de "Colombia Compra Eficiente".</t>
        </r>
      </text>
    </comment>
    <comment ref="L6" authorId="0" shapeId="0">
      <text>
        <r>
          <rPr>
            <b/>
            <sz val="9"/>
            <color indexed="81"/>
            <rFont val="Tahoma"/>
            <family val="2"/>
          </rPr>
          <t>Jairo Adriano Arteaga Velasquez:</t>
        </r>
        <r>
          <rPr>
            <sz val="9"/>
            <color indexed="81"/>
            <rFont val="Tahoma"/>
            <family val="2"/>
          </rPr>
          <t xml:space="preserve">
Indique el nombre del elemento a adquirir o la agrupación de estos de acuerdo con la codificación UNSPSC, si requiere ser mas específico el elemento a adquirir, coloque su nombre seguido del nombre que está codificado.
puede ingresar o quitar filas de acuerdo con los elementos que requiere adquirir, asegúrese que los valores esten sumando en la columna "Valor total estimado".</t>
        </r>
      </text>
    </comment>
    <comment ref="N6" authorId="0" shapeId="0">
      <text>
        <r>
          <rPr>
            <b/>
            <sz val="9"/>
            <color indexed="81"/>
            <rFont val="Tahoma"/>
            <family val="2"/>
          </rPr>
          <t>Jairo Adriano Arteaga Velasquez:</t>
        </r>
        <r>
          <rPr>
            <sz val="9"/>
            <color indexed="81"/>
            <rFont val="Tahoma"/>
            <family val="2"/>
          </rPr>
          <t xml:space="preserve">
Diligencie la fecha cuando se publicará en la pagina del SECOP, dia-mes-año</t>
        </r>
      </text>
    </comment>
    <comment ref="O6" authorId="0" shapeId="0">
      <text>
        <r>
          <rPr>
            <b/>
            <sz val="9"/>
            <color indexed="81"/>
            <rFont val="Tahoma"/>
            <family val="2"/>
          </rPr>
          <t>Jairo Adriano Arteaga Velasquez:</t>
        </r>
        <r>
          <rPr>
            <sz val="9"/>
            <color indexed="81"/>
            <rFont val="Tahoma"/>
            <family val="2"/>
          </rPr>
          <t xml:space="preserve">
diligencie el tiempo de duración del contrato en meses</t>
        </r>
      </text>
    </comment>
    <comment ref="P6" authorId="0" shapeId="0">
      <text>
        <r>
          <rPr>
            <b/>
            <sz val="9"/>
            <color indexed="81"/>
            <rFont val="Tahoma"/>
            <family val="2"/>
          </rPr>
          <t>Jairo Adriano Arteaga Velasquez:</t>
        </r>
        <r>
          <rPr>
            <sz val="9"/>
            <color indexed="81"/>
            <rFont val="Tahoma"/>
            <family val="2"/>
          </rPr>
          <t xml:space="preserve">
Esta columna la diligencia  Contratos</t>
        </r>
      </text>
    </comment>
    <comment ref="Q6" authorId="0" shapeId="0">
      <text>
        <r>
          <rPr>
            <b/>
            <sz val="9"/>
            <color indexed="81"/>
            <rFont val="Tahoma"/>
            <family val="2"/>
          </rPr>
          <t>Jairo Adriano Arteaga Velasquez:</t>
        </r>
        <r>
          <rPr>
            <sz val="9"/>
            <color indexed="81"/>
            <rFont val="Tahoma"/>
            <family val="2"/>
          </rPr>
          <t xml:space="preserve">
Esta columna son los techos de presupuesto, no se diligencia ni se modifica.</t>
        </r>
      </text>
    </comment>
    <comment ref="R6" authorId="0" shapeId="0">
      <text>
        <r>
          <rPr>
            <b/>
            <sz val="9"/>
            <color indexed="81"/>
            <rFont val="Tahoma"/>
            <family val="2"/>
          </rPr>
          <t>Jairo Adriano Arteaga Velasquez: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S6" authorId="0" shapeId="0">
      <text>
        <r>
          <rPr>
            <b/>
            <sz val="9"/>
            <color indexed="81"/>
            <rFont val="Tahoma"/>
            <family val="2"/>
          </rPr>
          <t>Jairo Adriano Arteaga Velasquez:</t>
        </r>
        <r>
          <rPr>
            <sz val="9"/>
            <color indexed="81"/>
            <rFont val="Tahoma"/>
            <family val="2"/>
          </rPr>
          <t xml:space="preserve">
Indique SI o NO requiere de vigencias futuras</t>
        </r>
      </text>
    </comment>
    <comment ref="T6" authorId="0" shapeId="0">
      <text>
        <r>
          <rPr>
            <b/>
            <sz val="9"/>
            <color indexed="81"/>
            <rFont val="Tahoma"/>
            <family val="2"/>
          </rPr>
          <t>Jairo Adriano Arteaga Velasquez:</t>
        </r>
        <r>
          <rPr>
            <sz val="9"/>
            <color indexed="81"/>
            <rFont val="Tahoma"/>
            <family val="2"/>
          </rPr>
          <t xml:space="preserve">
Si el elemento a contratar requiere de vigencias futuras del 2020, se ingresa el valor total del contrato</t>
        </r>
      </text>
    </comment>
    <comment ref="R13" authorId="1" shapeId="0">
      <text>
        <r>
          <rPr>
            <b/>
            <sz val="9"/>
            <color indexed="81"/>
            <rFont val="Tahoma"/>
            <family val="2"/>
          </rPr>
          <t>ANGIE DAYANA HERNANDEZ:</t>
        </r>
        <r>
          <rPr>
            <sz val="9"/>
            <color indexed="81"/>
            <rFont val="Tahoma"/>
            <family val="2"/>
          </rPr>
          <t xml:space="preserve">
Se crea item 
se recibe tralado por un valor de $110.000.000 del item suministro e instalacion de estuas y calentadores a gas para las viviendas iscales (mediante oicio 284 del 2020-05-06)</t>
        </r>
      </text>
    </comment>
    <comment ref="R15" authorId="1" shapeId="0">
      <text>
        <r>
          <rPr>
            <b/>
            <sz val="9"/>
            <color indexed="81"/>
            <rFont val="Tahoma"/>
            <family val="2"/>
          </rPr>
          <t>ANGIE DAYANA HERNANDEZ:</t>
        </r>
        <r>
          <rPr>
            <sz val="9"/>
            <color indexed="81"/>
            <rFont val="Tahoma"/>
            <family val="2"/>
          </rPr>
          <t xml:space="preserve">
se reliza traslado al item adqusicion de maquinaria y herramienta para el ICFE por un valor de $110.000.000  (mediante oicio 284 del 2020-05-06)</t>
        </r>
      </text>
    </comment>
    <comment ref="R36" authorId="1" shapeId="0">
      <text>
        <r>
          <rPr>
            <b/>
            <sz val="9"/>
            <color indexed="81"/>
            <rFont val="Tahoma"/>
            <family val="2"/>
          </rPr>
          <t>ANGIE DAYANA HERNANDEZ:</t>
        </r>
        <r>
          <rPr>
            <sz val="9"/>
            <color indexed="81"/>
            <rFont val="Tahoma"/>
            <family val="2"/>
          </rPr>
          <t xml:space="preserve">
Se realiza traslado zl:
rubro A-02-02-01-003-005 otros productos quimicos; ibras artiiciales ( o ibras industriales hechas por el hombre)
item: SUMINISTRO DE PRODUCTOS DE ASEO Y DE CAFETERÍA PARA EL ICFE (1 de 9)
valor: $ 865.326,84 mediante oicio 1373 del 13 de abril de 2020</t>
        </r>
      </text>
    </comment>
    <comment ref="R39" authorId="1" shapeId="0">
      <text>
        <r>
          <rPr>
            <b/>
            <sz val="9"/>
            <color indexed="81"/>
            <rFont val="Tahoma"/>
            <family val="2"/>
          </rPr>
          <t>ANGIE DAYANA HERNANDEZ:</t>
        </r>
        <r>
          <rPr>
            <sz val="9"/>
            <color indexed="81"/>
            <rFont val="Tahoma"/>
            <family val="2"/>
          </rPr>
          <t xml:space="preserve">
Se realiza traslado zl:
rubro A-02-02-01-003-005 otros productos quimicos; ibras artiiciales ( o ibras industriales hechas por el hombre)
item: SUMINISTRO DE PRODUCTOS DE ASEO Y DE CAFETERÍA PARA EL ICFE (2 de 9)
valor: $ 11.479,21 mediante oicio 1373 del 13 de abril de 2020</t>
        </r>
      </text>
    </comment>
    <comment ref="R42" authorId="1" shapeId="0">
      <text>
        <r>
          <rPr>
            <b/>
            <sz val="9"/>
            <color indexed="81"/>
            <rFont val="Tahoma"/>
            <family val="2"/>
          </rPr>
          <t>ANGIE DAYANA HERNANDEZ:</t>
        </r>
        <r>
          <rPr>
            <sz val="9"/>
            <color indexed="81"/>
            <rFont val="Tahoma"/>
            <family val="2"/>
          </rPr>
          <t xml:space="preserve">
Se realiza traslado zl:
rubro A-02-02-01-003-005 otros productos quimicos; ibras artiiciales ( o ibras industriales hechas por el hombre)
item: SUMINISTRO DE PRODUCTOS DE ASEO Y DE CAFETERÍA PARA EL ICFE (3 de 9)
valor: $ 227.199,58 mediante oicio 1373 del 13 de abril de 2020</t>
        </r>
      </text>
    </comment>
    <comment ref="R46" authorId="1" shapeId="0">
      <text>
        <r>
          <rPr>
            <b/>
            <sz val="9"/>
            <color indexed="81"/>
            <rFont val="Tahoma"/>
            <family val="2"/>
          </rPr>
          <t xml:space="preserve">ANGIE DAYANA HERNANDEZ:
</t>
        </r>
        <r>
          <rPr>
            <sz val="9"/>
            <color indexed="81"/>
            <rFont val="Tahoma"/>
            <family val="2"/>
          </rPr>
          <t>Se realiza traslado zl:
rubro A-02-02-01-003-005 otros productos quimicos; ibras artiiciales ( o ibras industriales hechas por el hombre)
item: SUMINISTRO DE PRODUCTOS DE ASEO Y DE CAFETERÍA PARA EL ICFE (5 de 9)
valor: $ 1.023.133,30 mediante oicio 1373 del 13 de abril de 2020</t>
        </r>
      </text>
    </comment>
    <comment ref="R56" authorId="1" shapeId="0">
      <text>
        <r>
          <rPr>
            <b/>
            <sz val="9"/>
            <color indexed="81"/>
            <rFont val="Tahoma"/>
            <family val="2"/>
          </rPr>
          <t xml:space="preserve">ANGIE DAYANA HERNANDEZ:
</t>
        </r>
        <r>
          <rPr>
            <sz val="9"/>
            <color indexed="81"/>
            <rFont val="Tahoma"/>
            <family val="2"/>
          </rPr>
          <t>Se realiza traslado zl:
rubro A-02-02-01-003-005 otros productos quimicos; ibras artiiciales ( o ibras industriales hechas por el hombre)
item: SUMINISTRO DE PRODUCTOS DE ASEO Y DE CAFETERÍA PARA EL ICFE (6 de 9)
valor: $ 1.296.954,89 mediante oicio 1373 del 13 de abril de 2020</t>
        </r>
      </text>
    </comment>
    <comment ref="R67" authorId="1" shapeId="0">
      <text>
        <r>
          <rPr>
            <b/>
            <sz val="9"/>
            <color indexed="81"/>
            <rFont val="Tahoma"/>
            <family val="2"/>
          </rPr>
          <t xml:space="preserve">ANGIE DAYANA HERNANDEZ:
</t>
        </r>
        <r>
          <rPr>
            <sz val="9"/>
            <color indexed="81"/>
            <rFont val="Tahoma"/>
            <family val="2"/>
          </rPr>
          <t>Se realiza traslado zl:
rubro A-02-02-01-003-005 otros productos quimicos; ibras artiiciales ( o ibras industriales hechas por el hombre)
item: SUMINISTRO DE PRODUCTOS DE ASEO Y DE CAFETERÍA PARA EL ICFE ( 7 de 9)
valor: $ 1.692.48,45 mediante oicio 1373 del 13 de abril de 2020</t>
        </r>
      </text>
    </comment>
    <comment ref="R70" authorId="1" shapeId="0">
      <text>
        <r>
          <rPr>
            <b/>
            <sz val="9"/>
            <color indexed="81"/>
            <rFont val="Tahoma"/>
            <family val="2"/>
          </rPr>
          <t>ANGIE DAYANA HERNANDEZ:</t>
        </r>
        <r>
          <rPr>
            <sz val="9"/>
            <color indexed="81"/>
            <rFont val="Tahoma"/>
            <family val="2"/>
          </rPr>
          <t xml:space="preserve">
Se recibe traslado:
rubro: A-02-02-01-000-001 PRODUCTOS DE LA AGRICULTURA Y LA HORTICULTURA
item: SUMINISTRO DE PRODUCTOS DE ASEO Y DE CAFETERÍA PARA EL ICFE (1 de 9)
valor: $865.326,84
rubro: A-02-02-01-002-002   PRODUCTOS LÁCTEOS Y OVOPRODUCTOS
item: SUMINISTRO DE PRODUCTOS DE ASEO Y DE CAFETERÍA PARA EL ICFE (2 de 9) 
 valor: 11.479,21
rubro: A-02-02-01-002-003 PRODUCTOS DE MOLINERÍA, ALMIDONES Y PRODUCTOS DERIVADOS DEL ALMIDÓN; OTROS PRODUCTOS ALIMENTICIOS
item:  SUMINISTRO DE PRODUCTOS DE ASEO Y DE CAFETERÍA PARA EL ICFE (3 de 9) 
valor: $227.199,58
rubro: A-02-02-01-002-007  ARTÍCULOS TEXTILES (EXCEPTO PRENDAS DE VESTIR)
item:  SUMINISTRO DE PRODUCTOS DE ASEO Y DE CAFETERÍA PARA EL ICFE (5 de 9) 
valor: $1.023.133,30
rubro:  A-02-02-01-003-002 PASTA O PULPA, PAPEL Y PRODUCTOS DE PAPEL; IMPRESOS Y ARTÍCULOS RELACIONADOS
item:  SUMINISTRO DE PRODUCTOS DE ASEO Y DE CAFETERÍA PARA EL ICFE (6 de 9)
valor: $1.296.954,89
rubro: A-02-02-01-003-004 QUÍMICOS BÁSICOS
item: SUMINISTRO DE PRODUCTOS DE ASEO Y DE CAFETERÍA PARA EL ICFE (7 de 9) 
valor: $1.692.948,45
rubro: A-02-02-01-003-005 OTROS PRODUCTOS QUÍMICOS; FIBRAS ARTIFICIALES (O FIBRAS INDUSTRIALES HECHAS POR EL HOMBRE)
item: SUMINISTRO DE PRODUCTOS DE ASEO Y DE CAFETERÍA PARA EL ICFE (8 de 9) 
valor: $11.775.341,39
rubro: A-02-02-01-003-006 PRODUCTOS DE CAUCHO Y PLASTICO
item: SUMINISTRO DE PRODUCTOS DE ASEO Y DE CAFETERÍA PARA EL ICFE (9 de 9) 
valor: $ 6.107.616,34
 mediante oicio 1373 del 13 de abril de 2020
</t>
        </r>
      </text>
    </comment>
    <comment ref="R72" authorId="1" shapeId="0">
      <text>
        <r>
          <rPr>
            <b/>
            <sz val="9"/>
            <color indexed="81"/>
            <rFont val="Tahoma"/>
            <family val="2"/>
          </rPr>
          <t xml:space="preserve">ANGIE DAYANA HERNANDEZ:
</t>
        </r>
        <r>
          <rPr>
            <sz val="9"/>
            <color indexed="81"/>
            <rFont val="Tahoma"/>
            <family val="2"/>
          </rPr>
          <t>Se realiza traslado zl:
rubro A-02-02-01-003-005 otros productos quimicos; ibras artiiciales ( o ibras industriales hechas por el hombre)
item: SUMINISTRO DE PRODUCTOS DE ASEO Y DE CAFETERÍA PARA EL ICFE (8 de 9)
valor: $ 11.775.341,39 mediante oicio 1373 del 13 de abril de 2020</t>
        </r>
      </text>
    </comment>
    <comment ref="R81" authorId="1" shapeId="0">
      <text>
        <r>
          <rPr>
            <b/>
            <sz val="9"/>
            <color indexed="81"/>
            <rFont val="Tahoma"/>
            <family val="2"/>
          </rPr>
          <t xml:space="preserve">ANGIE DAYANA HERNANDEZ:
</t>
        </r>
        <r>
          <rPr>
            <sz val="9"/>
            <color indexed="81"/>
            <rFont val="Tahoma"/>
            <family val="2"/>
          </rPr>
          <t>Se realiza traslado zl:
rubro A-02-02-01-003-005 otros productos quimicos; ibras artiiciales ( o ibras industriales hechas por el hombre)
item: SUMINISTRO DE PRODUCTOS DE ASEO Y DE CAFETERÍA PARA EL ICFE (9 de 9)
valor: $ 6.107.616,34 mediante oicio 1373 del 13 de abril de 2020</t>
        </r>
      </text>
    </comment>
    <comment ref="S139" authorId="0" shapeId="0">
      <text>
        <r>
          <rPr>
            <b/>
            <sz val="9"/>
            <color indexed="81"/>
            <rFont val="Tahoma"/>
            <family val="2"/>
          </rPr>
          <t>Jairo Adriano Arteaga Velasquez:</t>
        </r>
        <r>
          <rPr>
            <sz val="9"/>
            <color indexed="81"/>
            <rFont val="Tahoma"/>
            <family val="2"/>
          </rPr>
          <t xml:space="preserve">
La contratación se hará para 24 meses, con vigencias futuras del 2020 para los 12 meses por valor de $261 millones, y del 2021 para 4 meses por valor de $90 millones, para un total del contrato de $519 millones.</t>
        </r>
      </text>
    </comment>
    <comment ref="R187" authorId="1" shapeId="0">
      <text>
        <r>
          <rPr>
            <b/>
            <sz val="9"/>
            <color indexed="81"/>
            <rFont val="Tahoma"/>
            <family val="2"/>
          </rPr>
          <t xml:space="preserve">Angie Dayana Hernandez 
se crea item mediante oficio 1419 del 16 de abril del 2020 
se recibe traslado del:
rubro: A- 02-02-02-009-002
item:Prestacion de servicios de capacitacion para el personal empleados publicos y trabajadores oiciales del ICFE
oficio1419 de abril del 2020
</t>
        </r>
      </text>
    </comment>
    <comment ref="R194" authorId="1" shapeId="0">
      <text>
        <r>
          <rPr>
            <b/>
            <sz val="9"/>
            <color indexed="81"/>
            <rFont val="Tahoma"/>
            <family val="2"/>
          </rPr>
          <t>Angie Dayana Hernndez:</t>
        </r>
        <r>
          <rPr>
            <sz val="9"/>
            <color indexed="81"/>
            <rFont val="Tahoma"/>
            <family val="2"/>
          </rPr>
          <t xml:space="preserve">
se realiza traslado al:
rubro: A-02-02-02-008-007
item: mantenimient preventivo y correctivo a todo costo de los cuartos de maqinas y las motobombas de las vivienda ficales  nivel nacional
oficio: 1419 del 16 de abril del 2020
</t>
        </r>
      </text>
    </comment>
    <comment ref="R222" authorId="2" shapeId="0">
      <text>
        <r>
          <rPr>
            <b/>
            <sz val="9"/>
            <color indexed="81"/>
            <rFont val="Tahoma"/>
            <family val="2"/>
          </rPr>
          <t xml:space="preserve">Angie Dayana Hernandez Lobaton:
</t>
        </r>
        <r>
          <rPr>
            <sz val="9"/>
            <color indexed="81"/>
            <rFont val="Tahoma"/>
            <family val="2"/>
          </rPr>
          <t xml:space="preserve">
SE RECIBE TRASLADO DE
RUBRO: A-05-01-01-004-004 MAQUINARIA PARA USOS ESPECIALES 
ITEM: ADQUISICION DE MAQUINARIA Y HERRAMIENTA PARA EL ICFE
VALOR: $20.000.000
OFICIO 0542 DEL 04 DE FEBRERO DE 2020</t>
        </r>
      </text>
    </comment>
    <comment ref="R225" authorId="2" shapeId="0">
      <text>
        <r>
          <rPr>
            <b/>
            <sz val="9"/>
            <color indexed="81"/>
            <rFont val="Tahoma"/>
            <family val="2"/>
          </rPr>
          <t>Angie Dayana Hernandez Lobaton:</t>
        </r>
        <r>
          <rPr>
            <sz val="9"/>
            <color indexed="81"/>
            <rFont val="Tahoma"/>
            <family val="2"/>
          </rPr>
          <t xml:space="preserve">
SE RECIBE TRASLADO A
RUBRO: A-05-01-01-003-007 VIDRIO Y PRODUCTOS DE VIDIRIO Y OTROS PRODUCTOS NO METALICOS N.C.P
ITEM: SUMINISTRO E INSTALACION DE VIDRIOS CRUDOS, TEMPLADOS Y CARPINTERIA EN ALUMINIO PARA LAS VIVIENDAS FISCALES 
VALOR: $4.000.000
OFICIO 0255 DEL 20 DE ENERO DEL 2020</t>
        </r>
      </text>
    </comment>
    <comment ref="R228" authorId="2" shapeId="0">
      <text>
        <r>
          <rPr>
            <b/>
            <sz val="9"/>
            <color indexed="81"/>
            <rFont val="Tahoma"/>
            <family val="2"/>
          </rPr>
          <t>Angie Dayana Hernandez Lobaton:</t>
        </r>
        <r>
          <rPr>
            <sz val="9"/>
            <color indexed="81"/>
            <rFont val="Tahoma"/>
            <family val="2"/>
          </rPr>
          <t xml:space="preserve">
SE REALIZA TRASLADO AL
RUBRO: A-05-01-01-003-003 PRODUCTOS DE HORNOS DE COQUE; PRODUCTOS DE REFINANCION DE PETROLIO
ITEM: SUMINISTRO DE COMBUSTIBLE PARA PLANTAS ELECTRICAS, GUADAÑAS Y MAQUINARIA PARA EL MANTENIMIENTO DE LAS VIVIENDAS FISCALES EN BOGOTA
VALOR: $ 4.000.000
OFICIO 0255 DEL 20 DE ENERO DEL 2020</t>
        </r>
      </text>
    </comment>
    <comment ref="R235" authorId="2" shapeId="0">
      <text>
        <r>
          <rPr>
            <b/>
            <sz val="9"/>
            <color indexed="81"/>
            <rFont val="Tahoma"/>
            <family val="2"/>
          </rPr>
          <t>Angie Dayana Hernandez Lobaton:</t>
        </r>
        <r>
          <rPr>
            <sz val="9"/>
            <color indexed="81"/>
            <rFont val="Tahoma"/>
            <family val="2"/>
          </rPr>
          <t xml:space="preserve">
SE RECIBE TRASLADO 
VALOR: $130.000.000
RUBRO: A-05-01-01-004-004
ITEM: ADQUSIICION DE MAQUINARIA Y HERRAMIENETAS PARA EL ICFE
OFICIO 0173 20 DE ENERO 2020</t>
        </r>
      </text>
    </comment>
    <comment ref="R238" authorId="2" shapeId="0">
      <text>
        <r>
          <rPr>
            <b/>
            <sz val="9"/>
            <color indexed="81"/>
            <rFont val="Tahoma"/>
            <family val="2"/>
          </rPr>
          <t>Angie Dayana Hernandez Lobaton:</t>
        </r>
        <r>
          <rPr>
            <sz val="9"/>
            <color indexed="81"/>
            <rFont val="Tahoma"/>
            <family val="2"/>
          </rPr>
          <t xml:space="preserve">
SE REALIZA TRASLADO AL
RUBRO: A-05-01-01-004-003
ITEM: SUMINISTRO E INSTALACION DE ESTUFAS Y CALENTADORES A GAS PARA LAS VIVIENDAS FISCALES
VALOR: $130.000.000
OFICIO 0173 DEL 20 DE ENERO DEL 2020
SE REALIZA TRASLADO AL
RUBRO: A-05-01-01-003-002PASTA O PULPA, PAPEL Y PRODUCTOS DE PAPEL; IMPRESOSO Y ARTICULOS RELACIONADOS 
ITEM: SUMINISTRO DE ELEMENTOS DE PAPELERIA, UTILES DE ESCRITORIO Y OFICICNA (INCLUYR ELEMENTO DE ARCHIVVO), PARA LAS SECCIONALES A NIVEL NACIONAL
VALOR: $20.000.000
OFICIO 0542 DEL 04 DE FEBRERO DE 2020</t>
        </r>
      </text>
    </comment>
    <comment ref="R248" authorId="1" shapeId="0">
      <text>
        <r>
          <rPr>
            <b/>
            <sz val="9"/>
            <color indexed="81"/>
            <rFont val="Tahoma"/>
            <family val="2"/>
          </rPr>
          <t xml:space="preserve">ANGIE DAYANA HERNANDEZ:
se recibe traslado:
rubro:A-05-01-02-005-004 Servicios de construcción
item:MANTENIMIENTO PREVENTIVO Y CORRECTIVO A TODO COSTO DE LOS CUARTOS DE MAQUINAS Y LAS MOTOBOMBAS DE LAS VIVIENDAS FISCALES A NIVEL NACIONAL (Para tramitar vigencias futuras del 2021)
valor: $125.600.000
oficio: 285 del 06-05-2020
</t>
        </r>
        <r>
          <rPr>
            <sz val="9"/>
            <color indexed="81"/>
            <rFont val="Tahoma"/>
            <family val="2"/>
          </rPr>
          <t xml:space="preserve">
</t>
        </r>
      </text>
    </comment>
    <comment ref="R249" authorId="1" shapeId="0">
      <text>
        <r>
          <rPr>
            <b/>
            <sz val="9"/>
            <color indexed="81"/>
            <rFont val="Tahoma"/>
            <family val="2"/>
          </rPr>
          <t xml:space="preserve">ANGIE DAYANA HERNANDEZ:
</t>
        </r>
        <r>
          <rPr>
            <sz val="9"/>
            <color indexed="81"/>
            <rFont val="Tahoma"/>
            <family val="2"/>
          </rPr>
          <t xml:space="preserve">se realiza el traslado:
rubro:A-05-01-02-005-004
Servicios de construcción
item:MANTENIMIENTO PREVENTIVO Y CORRECTIVO A TODO COSTO DE LOS CUARTOS DE MAQUINAS Y LAS MOTOBOMBAS DE LAS VIVIENDAS FISCALES A NIVEL NACIONAL (Presupuesto comprometido con vigencias fururas desde 2019)
valor: $125.600.000
oficio: 285 del 06-05-2020
</t>
        </r>
      </text>
    </comment>
    <comment ref="R264" authorId="2" shapeId="0">
      <text>
        <r>
          <rPr>
            <b/>
            <sz val="9"/>
            <color indexed="81"/>
            <rFont val="Tahoma"/>
            <family val="2"/>
          </rPr>
          <t xml:space="preserve">Angie Dayana Hernandez Lobaton:
</t>
        </r>
        <r>
          <rPr>
            <sz val="9"/>
            <color indexed="81"/>
            <rFont val="Tahoma"/>
            <family val="2"/>
          </rPr>
          <t>SE CREA ITEM MEDIANTE OFICIO 0280 DEL 23 DE ENERO DEL 2020</t>
        </r>
        <r>
          <rPr>
            <b/>
            <sz val="9"/>
            <color indexed="81"/>
            <rFont val="Tahoma"/>
            <family val="2"/>
          </rPr>
          <t xml:space="preserve">
</t>
        </r>
        <r>
          <rPr>
            <sz val="9"/>
            <color indexed="81"/>
            <rFont val="Tahoma"/>
            <family val="2"/>
          </rPr>
          <t xml:space="preserve">
SE RECIBE TRASLADO DEL
RUBRO: A-05-01-02-008-007 SERVICIOS DE MANTENIEMEINTO, REPARACION E INSTALACION (EXEPTO SERVISIO DE CONSTRUCCION)
ITEM: LAVADO Y DESINFECCION DE TANQUES DE AGUA POTABLE DE LAS VIVIENDAS FISCALES DE BOGOTA
VALOR: $ 42.000.000
OFICIO 0280 DEL 23 DE ENERO DE 2020</t>
        </r>
      </text>
    </comment>
    <comment ref="R284" authorId="2" shapeId="0">
      <text>
        <r>
          <rPr>
            <b/>
            <sz val="9"/>
            <color indexed="81"/>
            <rFont val="Tahoma"/>
            <family val="2"/>
          </rPr>
          <t>Angie Dayana Hernandez Lobaton:</t>
        </r>
        <r>
          <rPr>
            <sz val="9"/>
            <color indexed="81"/>
            <rFont val="Tahoma"/>
            <family val="2"/>
          </rPr>
          <t xml:space="preserve">
SE REALIZA TRASLADO 
VALOR: $42.000.000
RUBRO: A-05-01-02-007-001 SERVICIO FINANCIEROS Y SERICIOS CONEXOS
ITEM: PAGO ARL PARA PRESTADORES DE SERVICIOS RIESGO 5: TECNICOS, PINTORES Y OFICIALES DE CONSTRUCCION. 
OFICIO 0280 DEL 23 DE ENERO DEL 2020</t>
        </r>
      </text>
    </comment>
  </commentList>
</comments>
</file>

<file path=xl/comments2.xml><?xml version="1.0" encoding="utf-8"?>
<comments xmlns="http://schemas.openxmlformats.org/spreadsheetml/2006/main">
  <authors>
    <author>Jairo Adriano Arteaga Velasquez</author>
    <author>Angie Dayana Hernandez Lobaton</author>
    <author>Olga Milena González Gómez</author>
  </authors>
  <commentList>
    <comment ref="K6" authorId="0" shapeId="0">
      <text>
        <r>
          <rPr>
            <b/>
            <sz val="9"/>
            <color indexed="81"/>
            <rFont val="Tahoma"/>
            <family val="2"/>
          </rPr>
          <t>Olga Milena González Gómez:</t>
        </r>
        <r>
          <rPr>
            <sz val="9"/>
            <color indexed="81"/>
            <rFont val="Tahoma"/>
            <family val="2"/>
          </rPr>
          <t xml:space="preserve">
Consulte este código del elemento a adquirir en la página web de "Colombia Compra Eficiente".</t>
        </r>
      </text>
    </comment>
    <comment ref="L6" authorId="0" shapeId="0">
      <text>
        <r>
          <rPr>
            <b/>
            <sz val="9"/>
            <color indexed="81"/>
            <rFont val="Tahoma"/>
            <family val="2"/>
          </rPr>
          <t>Olga Milena González Gómez:</t>
        </r>
        <r>
          <rPr>
            <sz val="9"/>
            <color indexed="81"/>
            <rFont val="Tahoma"/>
            <family val="2"/>
          </rPr>
          <t xml:space="preserve">
Indique el nombre del elemento a adquirir o la agrupación de estos de acuerdo con la codificación UNSPSC, si requiere ser mas específico el elemento a adquirir, coloque su nombre seguido del nombre que está codificado.
puede ingresar o quitar filas de acuerdo con los elementos que requiere adquirir, asegúrese que los valores esten sumando en la columna "Valor total estimado".</t>
        </r>
      </text>
    </comment>
    <comment ref="N6" authorId="0" shapeId="0">
      <text>
        <r>
          <rPr>
            <b/>
            <sz val="9"/>
            <color indexed="81"/>
            <rFont val="Tahoma"/>
            <family val="2"/>
          </rPr>
          <t>Olga Milena González Gómez:</t>
        </r>
        <r>
          <rPr>
            <sz val="9"/>
            <color indexed="81"/>
            <rFont val="Tahoma"/>
            <family val="2"/>
          </rPr>
          <t xml:space="preserve">
Diligencie la fecha cuando se publicará en la pagina del SECOP, dia-mes-año</t>
        </r>
      </text>
    </comment>
    <comment ref="O6" authorId="0" shapeId="0">
      <text>
        <r>
          <rPr>
            <b/>
            <sz val="9"/>
            <color indexed="81"/>
            <rFont val="Tahoma"/>
            <family val="2"/>
          </rPr>
          <t>Olga Milena González Gómez:</t>
        </r>
        <r>
          <rPr>
            <sz val="9"/>
            <color indexed="81"/>
            <rFont val="Tahoma"/>
            <family val="2"/>
          </rPr>
          <t xml:space="preserve">
diligencie el tiempo de duración del contrato en meses</t>
        </r>
      </text>
    </comment>
    <comment ref="P6" authorId="0" shapeId="0">
      <text>
        <r>
          <rPr>
            <b/>
            <sz val="9"/>
            <color indexed="81"/>
            <rFont val="Tahoma"/>
            <family val="2"/>
          </rPr>
          <t>Olga Milena González Gómez:</t>
        </r>
        <r>
          <rPr>
            <sz val="9"/>
            <color indexed="81"/>
            <rFont val="Tahoma"/>
            <family val="2"/>
          </rPr>
          <t xml:space="preserve">
Esta columna la diligencia  Contratos</t>
        </r>
      </text>
    </comment>
    <comment ref="Q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R6" authorId="0" shapeId="0">
      <text>
        <r>
          <rPr>
            <b/>
            <sz val="9"/>
            <color indexed="81"/>
            <rFont val="Tahoma"/>
            <family val="2"/>
          </rPr>
          <t>Olga Milena González Gómez:</t>
        </r>
        <r>
          <rPr>
            <sz val="9"/>
            <color indexed="81"/>
            <rFont val="Tahoma"/>
            <family val="2"/>
          </rPr>
          <t xml:space="preserve">
Indique SI o NO requiere de vigencias futuras</t>
        </r>
      </text>
    </comment>
    <comment ref="S6" authorId="0" shapeId="0">
      <text>
        <r>
          <rPr>
            <b/>
            <sz val="9"/>
            <color indexed="81"/>
            <rFont val="Tahoma"/>
            <family val="2"/>
          </rPr>
          <t>Olga Milena González Gómez:</t>
        </r>
        <r>
          <rPr>
            <sz val="9"/>
            <color indexed="81"/>
            <rFont val="Tahoma"/>
            <family val="2"/>
          </rPr>
          <t xml:space="preserve">
Si el elemento a contratar requiere de vigencias futuras del 2020, se ingresa el valor total del contrato</t>
        </r>
      </text>
    </comment>
    <comment ref="Q33" authorId="1" shapeId="0">
      <text>
        <r>
          <rPr>
            <b/>
            <sz val="9"/>
            <color indexed="81"/>
            <rFont val="Tahoma"/>
            <family val="2"/>
          </rPr>
          <t>Angie Dayana Hernandez Lobaton:</t>
        </r>
        <r>
          <rPr>
            <sz val="9"/>
            <color indexed="81"/>
            <rFont val="Tahoma"/>
            <family val="2"/>
          </rPr>
          <t xml:space="preserve">
Se recibe traslado por valor de $1.183.000: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39" authorId="1" shapeId="0">
      <text>
        <r>
          <rPr>
            <b/>
            <sz val="9"/>
            <color indexed="81"/>
            <rFont val="Tahoma"/>
            <family val="2"/>
          </rPr>
          <t>Angie Dayana Hernandez Lobaton:</t>
        </r>
        <r>
          <rPr>
            <sz val="9"/>
            <color indexed="81"/>
            <rFont val="Tahoma"/>
            <family val="2"/>
          </rPr>
          <t xml:space="preserve">
e recibe traslado por valor de $3.226.000: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41" authorId="1" shapeId="0">
      <text>
        <r>
          <rPr>
            <b/>
            <sz val="9"/>
            <color indexed="81"/>
            <rFont val="Tahoma"/>
            <family val="2"/>
          </rPr>
          <t>Angie Dayana Hernandez Lobaton:</t>
        </r>
        <r>
          <rPr>
            <sz val="9"/>
            <color indexed="81"/>
            <rFont val="Tahoma"/>
            <family val="2"/>
          </rPr>
          <t xml:space="preserve">
e recibe traslado por valor de $35.000: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45" authorId="1" shapeId="0">
      <text>
        <r>
          <rPr>
            <b/>
            <sz val="9"/>
            <color indexed="81"/>
            <rFont val="Tahoma"/>
            <family val="2"/>
          </rPr>
          <t>Angie Dayana Hernandez Lobaton:</t>
        </r>
        <r>
          <rPr>
            <sz val="9"/>
            <color indexed="81"/>
            <rFont val="Tahoma"/>
            <family val="2"/>
          </rPr>
          <t xml:space="preserve">
Se realiza tralado por valr de $2.000.000
Rubro: A-02-02-01-004-004 MAQUINARIA PARA USOS ESPECIALES
Item :  SUMINISTRO Y RECARGA DE EXTINTORES
Oficio: Radicado I-2022-00930 Id: 33586
Se realiza traslado por valor de $15,000,000
rubro: 
A-02-02-02-009-004 SERVICIOS DE ALCANTARILLADO,  ECOLECCIÓN, TRATAMIENTO Y DISPOSICIÓN DE DESECHOS Y OTROS SERVICIOS DE SANEAMIENTO AMBIENTAL
Item:
DISPOSICIÓN DE RESIDUOS DE CONSRUCCIÓN Y DEMOLICIÓN
GENERADOS DE LAS ACTIVIDADES DE MANTENIEMIENTO EN SITIOS
AUTORIZADOS POR UNA ENTIDAD AMBIENTAL.
oficio Radicado I-2022-01020 Id: 34397
</t>
        </r>
      </text>
    </comment>
    <comment ref="Q50" authorId="1" shapeId="0">
      <text>
        <r>
          <rPr>
            <b/>
            <sz val="9"/>
            <color indexed="81"/>
            <rFont val="Tahoma"/>
            <family val="2"/>
          </rPr>
          <t>Angie Dayana Hernandez Lobaton:</t>
        </r>
        <r>
          <rPr>
            <sz val="9"/>
            <color indexed="81"/>
            <rFont val="Tahoma"/>
            <family val="2"/>
          </rPr>
          <t xml:space="preserve">
e recibe traslado por valor de $3.504.000: 
rubro: 
A-02-02-02-008-003 OTROS SERVICIOS PROFESIONALES, CIENTÍFICOS Y TÉCNICOS
item: PRESTAR CON PLENA AUTONOMÍA LOS SERVICIOS PROFESIONALES DE  INGENIERO AUDITOR PARA EL APOYO EN EL DESARROLLO DE LAS AUDITORIAS DE LA ASESORÍA DE CONTROL INTERNO DEL ICFE
oficio: 
XXXXX</t>
        </r>
      </text>
    </comment>
    <comment ref="Q53" authorId="1" shapeId="0">
      <text>
        <r>
          <rPr>
            <b/>
            <sz val="9"/>
            <color indexed="81"/>
            <rFont val="Tahoma"/>
            <family val="2"/>
          </rPr>
          <t>Angie Dayana Hernandez Lobaton:</t>
        </r>
        <r>
          <rPr>
            <sz val="9"/>
            <color indexed="81"/>
            <rFont val="Tahoma"/>
            <family val="2"/>
          </rPr>
          <t xml:space="preserve">
se crea item 
y se recibe traslado por valor de $2,190,600
del rubro:
A-02-02-02-008-003 OTROS SERVICIOS PROFESIONALES, CIENTÍFICOS Y
TÉCNICOS
item: PRESTAR CON PLENA AUTONOMÍA LOS SERVICIOS
PROFESIONALES DE INGENIERO AUDITOR PARA EL APOYO EN EL
DESARROLLO DE LAS AUDITORÍAS DE LA ASESORÍA DE CONTROL
INTERNO DEL ICFE. 
Radicado I-2022-00812 Id: 32848</t>
        </r>
      </text>
    </comment>
    <comment ref="Q61" authorId="1" shapeId="0">
      <text>
        <r>
          <rPr>
            <b/>
            <sz val="9"/>
            <color indexed="81"/>
            <rFont val="Tahoma"/>
            <family val="2"/>
          </rPr>
          <t>Angie Dayana Hernandez Lobaton:</t>
        </r>
        <r>
          <rPr>
            <sz val="9"/>
            <color indexed="81"/>
            <rFont val="Tahoma"/>
            <family val="2"/>
          </rPr>
          <t xml:space="preserve">
e recibe traslado por valor de $1.732.000: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68" authorId="1" shapeId="0">
      <text>
        <r>
          <rPr>
            <b/>
            <sz val="9"/>
            <color indexed="81"/>
            <rFont val="Tahoma"/>
            <family val="2"/>
          </rPr>
          <t>Angie Dayana Hernandez Lobaton:</t>
        </r>
        <r>
          <rPr>
            <sz val="9"/>
            <color indexed="81"/>
            <rFont val="Tahoma"/>
            <family val="2"/>
          </rPr>
          <t xml:space="preserve">
e recibe traslado por valor de $2.160.000: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77" authorId="1" shapeId="0">
      <text>
        <r>
          <rPr>
            <b/>
            <sz val="9"/>
            <color indexed="81"/>
            <rFont val="Tahoma"/>
            <family val="2"/>
          </rPr>
          <t>Angie Dayana Hernandez Lobaton:</t>
        </r>
        <r>
          <rPr>
            <sz val="9"/>
            <color indexed="81"/>
            <rFont val="Tahoma"/>
            <family val="2"/>
          </rPr>
          <t xml:space="preserve">
Se crea item y 
Se recibe tralado por valr de $2.000.000
Rubro: A-02-02-01-002-008 DOTACIÓN (PRENDAS DE VESTIR Y CALZADO)
Item :  SUMINISTRO DE ELEMENTOS DE SEGURIDAD INDUSTRIAL Y DOTACIÓN SST
(2 de 4)
Oficio: Radicado I-2022-00930 Id: 33586</t>
        </r>
      </text>
    </comment>
    <comment ref="Q87" authorId="1" shapeId="0">
      <text>
        <r>
          <rPr>
            <b/>
            <sz val="9"/>
            <color indexed="81"/>
            <rFont val="Tahoma"/>
            <family val="2"/>
          </rPr>
          <t xml:space="preserve">Angie Dayana Hernandez Lobaton:
</t>
        </r>
        <r>
          <rPr>
            <sz val="9"/>
            <color indexed="81"/>
            <rFont val="Tahoma"/>
            <family val="2"/>
          </rPr>
          <t xml:space="preserve">
Se hace la union de los items DESARROLLO MEJORATIVO SISTEMA CONTROL DOC Y ADQUISICIÓN DE FIRMAS y ADQUISICIÓN DE LICENCIAS DE CONTROL DOC (SISTEMA DE GESTIÓN DE ARCHIVO) (63 UNIDADES).
Y crea item Adquisición de licencias adicionales del SGDEA CONTROLDOC y Desarrollo Evolutivo del gestor documental.
oficio: I-2022-00138 Id: 30492</t>
        </r>
      </text>
    </comment>
    <comment ref="P96" authorId="1" shapeId="0">
      <text>
        <r>
          <rPr>
            <b/>
            <sz val="9"/>
            <color indexed="81"/>
            <rFont val="Tahoma"/>
            <family val="2"/>
          </rPr>
          <t>Angie Dayana Hernandez Lobaton:</t>
        </r>
        <r>
          <rPr>
            <sz val="9"/>
            <color indexed="81"/>
            <rFont val="Tahoma"/>
            <family val="2"/>
          </rPr>
          <t xml:space="preserve">
Se realiza cambio en la modalidad de contratcion 
ofcio: Radicado I-2022-00318 Id: 30964</t>
        </r>
      </text>
    </comment>
    <comment ref="Q125" authorId="1" shapeId="0">
      <text>
        <r>
          <rPr>
            <b/>
            <sz val="9"/>
            <color indexed="81"/>
            <rFont val="Tahoma"/>
            <family val="2"/>
          </rPr>
          <t xml:space="preserve">Angie Dayana Hernandez Lobaton:
</t>
        </r>
        <r>
          <rPr>
            <sz val="9"/>
            <color indexed="81"/>
            <rFont val="Tahoma"/>
            <family val="2"/>
          </rPr>
          <t xml:space="preserve">
se realiza traslado por valor de $1.500.000
Rubro:A-02-02-02-008-003 OTROS SERVICIOS PROFESIONALES, CIENTÍFICOS Y TÉCNICOS
item: APOYO TÉCNICO PARA REALIZAR ACTIVIDADES DE CONTABILIDAD PARA EL CIERRE DE LA
VIGENCIA FISCAL
oficio:I-2022-00186 ID: 30626
se crea item 
y se realiza traslado por valor de $2,190,600
al rubro:
A-02-02-01-003-002 PASTA O PULPA, PAPEL Y PRODUCTOS DE PAPEL;
IMPRESOS Y ARTÍCULOS RELACIONADOS.
item: CORRECCIÓN DE ESTILO, ORTOGRAFÍA, DISEÑO, DIAGRAMACIÓN AL
TEXTO (ACUERDO 002 DE 2021), ASÍ COMO LA PUBLICACIÓN EN EL
DIARIO OFICIAL DEL ACUERDO 002 DE 2021 QUE REGLAMENTA LA
ADMINISTRACIÓN DE LAS VIVIENDAS FISCALES DEL INSTITUTO DE
CASAS FISCALES DEL EJÉRCITO.
Radicado I-2022-00812 Id: 32848
Se realiza traslado por valor de $11.840.000
asi: 
 A-02-02-01-000-001  PRODUCTOS DE LA AGRICULTURA Y LA HORTICULTURA  
SUMINISTRO DE PRODUCTOS DE ASEO Y DE CAFETERÍA PARA EL ICFE (1 de 7)
 $   1.183.000
 A-02-02-01-002-003  PRODUCTOS DE MOLINERÍA, ALMIDONES Y PRODUCTOS DERIVADOS DEL ALMIDÓN; OTROS PRODUCTOS ALIMENTICIOS   
SUMINISTRO DE PRODUCTOS DE ASEO Y DE CAFETERÍA PARA EL ICFE (3 de 7) 
$   3.226.000
 A-02-02-01-002-007  ARTÍCULOS TEXTILES (EXCEPTO PRENDAS DE VESTIR)  SUMINISTRO DE PRODUCTOS DE ASEO Y DE CAFETERÍA PARA EL ICFE (4 de 7) 
$        35.000
 A-02-02-01-003-002  PASTA O PULPA, PAPEL Y PRODUCTOS DE PAPEL; IMPRESOS Y ARTÍCULOS RELACIONADOS  SUMINISTRO DE PRODUCTOS DE ASEO Y DE CAFETERÍA PARA EL ICFE (5 de 7) 
$   3.504.000
 A-02-02-01-003-005  OTROS PRODUCTOS QUÍMICOS; FIBRAS ARTIFICIALES (O FIBRAS INDUSTRIALES HECHAS POR EL HOMBRE)  
SUMINISTRO DE PRODUCTOS DE ASEO Y DE CAFETERÍA PARA EL ICFE (6 de 7) 
$   1.732.000
 A-02-02-01-003-006  PRODUCTOS DE CAUCHO Y PLÁSTICO  SUMINISTRO DE PRODUCTOS DE ASEO Y DE CAFETERÍA PARA EL ICFE (7 de 7) 
$   2.160.000
Oficio XXXXXXX
</t>
        </r>
      </text>
    </comment>
    <comment ref="Q126" authorId="1" shapeId="0">
      <text>
        <r>
          <rPr>
            <b/>
            <sz val="9"/>
            <color indexed="81"/>
            <rFont val="Tahoma"/>
            <family val="2"/>
          </rPr>
          <t>Angie Dayana Hernandez Lobaton:</t>
        </r>
        <r>
          <rPr>
            <sz val="9"/>
            <color indexed="81"/>
            <rFont val="Tahoma"/>
            <family val="2"/>
          </rPr>
          <t xml:space="preserve">
Se crea iten 
se recibe traslado por valor de $1,500,000
Rubro:A-02-02-02-008-003 OTROS SERVICIOS PROFESIONALES, CIENTÍFICOS Y TÉCNICOS
item: PRESTAR CON PLENA AUTONOMIA LOS SERVICIOS PROFESIONALES DE INGENIERO AUDITOR PARA EL APOYO EN EL DESARROLLO DE LAS AUDITORIAS DE LA ASESRIA DE CONTROL INTERNO DEL ICFE VIGENCIA FISCAL
oficio:I-2022-00186 ID: 30626</t>
        </r>
      </text>
    </comment>
    <comment ref="Q161" authorId="1" shapeId="0">
      <text>
        <r>
          <rPr>
            <b/>
            <sz val="9"/>
            <color indexed="81"/>
            <rFont val="Tahoma"/>
            <family val="2"/>
          </rPr>
          <t>Angie Dayana Hernandez Lobaton:</t>
        </r>
        <r>
          <rPr>
            <sz val="9"/>
            <color indexed="81"/>
            <rFont val="Tahoma"/>
            <family val="2"/>
          </rPr>
          <t xml:space="preserve">
Se realiza traslado por valor de $ 3.000.000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(Presupuesto comprometido con vigencias fururas desde 2021-2022)
oficio: 33574</t>
        </r>
      </text>
    </comment>
    <comment ref="Q162" authorId="1" shapeId="0">
      <text>
        <r>
          <rPr>
            <b/>
            <sz val="9"/>
            <color indexed="81"/>
            <rFont val="Tahoma"/>
            <family val="2"/>
          </rPr>
          <t>Angie Dayana Hernandez Lobaton:</t>
        </r>
        <r>
          <rPr>
            <sz val="9"/>
            <color indexed="81"/>
            <rFont val="Tahoma"/>
            <family val="2"/>
          </rPr>
          <t xml:space="preserve">
Se recibe traslado por valor de $ 3.000.000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(Para tramitar vigencias futuras del 2022-2023)
oficio: 33574</t>
        </r>
      </text>
    </comment>
    <comment ref="Q176" authorId="1" shapeId="0">
      <text>
        <r>
          <rPr>
            <b/>
            <sz val="9"/>
            <color indexed="81"/>
            <rFont val="Tahoma"/>
            <family val="2"/>
          </rPr>
          <t>Angie Dayana Hernandez Lobaton:</t>
        </r>
        <r>
          <rPr>
            <sz val="9"/>
            <color indexed="81"/>
            <rFont val="Tahoma"/>
            <family val="2"/>
          </rPr>
          <t xml:space="preserve">
Se recibe traslado por valor de $15,000,000
rubro: 
A-02-02-01-002-008 DOTACIÓN (PRENDAS DE VESTIR Y CALZADO)
Item:
SUMINISTRO DE ELEMENTOS DE SEGURIDAD INDUSTRIAL Y DOTACIÓN
SST (2 de 4)
oficio Radicado I-2022-01020 Id: 34397
</t>
        </r>
      </text>
    </comment>
    <comment ref="Q196" authorId="1" shapeId="0">
      <text>
        <r>
          <rPr>
            <b/>
            <sz val="9"/>
            <color indexed="81"/>
            <rFont val="Tahoma"/>
            <charset val="1"/>
          </rPr>
          <t>Angie Dayana Hernandez Lobaton:</t>
        </r>
        <r>
          <rPr>
            <sz val="9"/>
            <color indexed="81"/>
            <rFont val="Tahoma"/>
            <charset val="1"/>
          </rPr>
          <t xml:space="preserve">
Se realiza traslado por valor de $ 70.000.000
Rubro A-05-01-01-003-006 PRODUCTOS DE CAUCHO Y PLÁSTICO
Item: RECIPIENTES PARA LA DISPOSICIÓN DE RESIDUOS SÓLIDOS A NIVEL
NACIONAL
oficio: I-2022-01457 Id: 36048
</t>
        </r>
      </text>
    </comment>
    <comment ref="Q205" authorId="1" shapeId="0">
      <text>
        <r>
          <rPr>
            <b/>
            <sz val="9"/>
            <color indexed="81"/>
            <rFont val="Tahoma"/>
            <charset val="1"/>
          </rPr>
          <t>Angie Dayana Hernandez Lobaton:
Se crea Item</t>
        </r>
        <r>
          <rPr>
            <sz val="9"/>
            <color indexed="81"/>
            <rFont val="Tahoma"/>
            <charset val="1"/>
          </rPr>
          <t xml:space="preserve">
Se recibe traslado por valor de $ 70.000.000
Rubro A-05-01-01-003-004 PRODUCTOS DE CAUCHO Y PLASTICO
Item:RECIPIENTES PARA LA DISPOSICIÓN DE RESIDUOS SÓLIDOS A NIVEL
NACIONAL
oficio: I-2022-01457 Id: 36048</t>
        </r>
      </text>
    </comment>
    <comment ref="Q213" authorId="1" shapeId="0">
      <text>
        <r>
          <rPr>
            <b/>
            <sz val="9"/>
            <color indexed="81"/>
            <rFont val="Tahoma"/>
            <family val="2"/>
          </rPr>
          <t>Angie Dayana Hernandez Lobaton:</t>
        </r>
        <r>
          <rPr>
            <sz val="9"/>
            <color indexed="81"/>
            <rFont val="Tahoma"/>
            <family val="2"/>
          </rPr>
          <t xml:space="preserve">
Se realiza traslado por valor de $74.900.000
Item:
PRESTACION DE SERVICIOS DE ACTIVIDADES DE
MANTENIMIENTO PREVENTIVO Y CORRECTIVO DE REDES
ELECTRICAS DE LAS VIVIENDAS FISCALES EN LA CIUDAD DE
BOGOTA
Valor:$24.500.000
Item:
PRESTACION DE SERVICIOS DE ACTIVIDADES DE
MANTENIMIENTO BÁSICO Y ACABADOS DE LAS VIVIENDAS
FISCALES DEL CONJUNTO ARTILLERIA EN LA CIUDAD DE
BOGOTA
Valor:$ 33.600.000
Item: 
PRESTACION DE SERVICIOS DE ACTIVIDADES DE
MANTENIMIENTO PREVENTIVO Y CORRECTIVO DE
CARPINTERIA Y PINTURA EN MADERA DE LAS VIVIENDAS
FISCALES EN LA CIUDAD DE BOGOTA
Valor:$ 16.800.000
Oficio: I-2022-00182 Id: 30612
Se realiza traslado por valor de $5.500.000
item: PRESTACION DE SERVICIOS DE ACTIVIDADES DE
MANTENIMIENTO PREVENTIVO Y CORRECTIVO DE REDES
ELECTRICAS DE LAS VIVIENDAS FISCALES EN LA CIUDAD DE
BOGOTA
oficio: Radicado I-2022-00319 Id: 30965</t>
        </r>
      </text>
    </comment>
    <comment ref="Q214" authorId="1" shapeId="0">
      <text>
        <r>
          <rPr>
            <b/>
            <sz val="9"/>
            <color indexed="81"/>
            <rFont val="Tahoma"/>
            <family val="2"/>
          </rPr>
          <t>Angie Dayana Hernandez Lobaton:</t>
        </r>
        <r>
          <rPr>
            <sz val="9"/>
            <color indexed="81"/>
            <rFont val="Tahoma"/>
            <family val="2"/>
          </rPr>
          <t xml:space="preserve">
Se recibe traslado por valor de $24.500.000
Rubro A-05-01-02-005-004 SERVICIOS DE CONSTRUCCION 
Item:
SUMINISTRO DE ELEMENTOS DE FERRETERÍA Y OTROS
MATERIALES PARA EL MANTENIMIENTO DE LAS VIVIENDAS
FISCALES Y SUS ÁREAS COMUNES EN LAS SECCIONALES A
NIVEL NACIONAL
Oficio: I-2022-00182 Id: 30612
Se recibe traslado por valor de $5.500.000
item: SUMINISTRO DE ELEMENTOS DE FERRETERÍA Y OTROS
MATERIALES PARA EL MANTENIMIENTO DE LAS VIVIENDAS
FISCALES Y SUS ÁREAS COMUNES EN LAS SECCIONALES A
NIVEL NACIONAL
oficio: Radicado I-2022-00319 Id: 30965</t>
        </r>
      </text>
    </comment>
    <comment ref="Q215" authorId="1" shapeId="0">
      <text>
        <r>
          <rPr>
            <b/>
            <sz val="9"/>
            <color indexed="81"/>
            <rFont val="Tahoma"/>
            <family val="2"/>
          </rPr>
          <t>Angie Dayana Hernandez Lobaton:</t>
        </r>
        <r>
          <rPr>
            <sz val="9"/>
            <color indexed="81"/>
            <rFont val="Tahoma"/>
            <family val="2"/>
          </rPr>
          <t xml:space="preserve">
Se recibe traslado por valor de $33.600.000
Rubro A-05-01-02-005-004 SERVICIOS DE CONSTRUCCION 
Item:
SUMINISTRO DE ELEMENTOS DE FERRETERÍA Y OTROS
MATERIALES PARA EL MANTENIMIENTO DE LAS VIVIENDAS
FISCALES Y SUS ÁREAS COMUNES EN LAS SECCIONALES A
NIVEL NACIONAL
Oficio: I-2022-00182 Id: 30612</t>
        </r>
      </text>
    </comment>
    <comment ref="Q216" authorId="1" shapeId="0">
      <text>
        <r>
          <rPr>
            <b/>
            <sz val="9"/>
            <color indexed="81"/>
            <rFont val="Tahoma"/>
            <family val="2"/>
          </rPr>
          <t>Angie Dayana Hernandez Lobaton:</t>
        </r>
        <r>
          <rPr>
            <sz val="9"/>
            <color indexed="81"/>
            <rFont val="Tahoma"/>
            <family val="2"/>
          </rPr>
          <t xml:space="preserve">
Se recibe traslado por valor de $16.800.000
Rubro A-05-01-02-005-004 SERVICIOS DE CONSTRUCCION 
Item:
SUMINISTRO DE ELEMENTOS DE FERRETERÍA Y OTROS
MATERIALES PARA EL MANTENIMIENTO DE LAS VIVIENDAS
FISCALES Y SUS ÁREAS COMUNES EN LAS SECCIONALES A
NIVEL NACIONAL
Oficio: I-2022-00182 Id: 30612</t>
        </r>
      </text>
    </comment>
    <comment ref="Q217" authorId="1" shapeId="0">
      <text>
        <r>
          <rPr>
            <b/>
            <sz val="9"/>
            <color indexed="81"/>
            <rFont val="Tahoma"/>
            <family val="2"/>
          </rPr>
          <t>Angie Dayana Hernandez Lobaton:</t>
        </r>
        <r>
          <rPr>
            <sz val="9"/>
            <color indexed="81"/>
            <rFont val="Tahoma"/>
            <family val="2"/>
          </rPr>
          <t xml:space="preserve">
Se recibe traslado por valor de $ 320.000.000
Rubro: A-05-01-02-005-004 SERVICIOS DE CONSTRUCCION 
Item:  SUMINISTRO DE ELEMENTOS DE FERRETERÍA Y OTROS MATERIALES PARA EL MANTENIMIENTO DE LAS VIVIENDAS FISCALES Y SUS ÁREAS COMUNES EN CIUDAD DE BOGOTÁ (Para tramitar vigencias futuras del 2022-2023)
oficio: 33574
Se recibe traslado por valor de $180,000,000
Rubro: A-05-01-02-005-004-05 SERVICIOS ESPECIALES DE CONSTRUCCIÓN
Item: SUMINISTRO DE ELEMENTOS DE FERRETERÍA Y OTROS MATERIALES PARA EL MANTENIMIENTO DE LAS VIVIENDAS FISCALES Y SUS ÁREAS COMUNES EN CIUDAD DE BOGOTÁ (Para tramitar vigencias futuras del 2022-2023)
oficio:  Radicado I-2022-01149 Id: 35075
</t>
        </r>
      </text>
    </comment>
    <comment ref="Q218" authorId="1" shapeId="0">
      <text>
        <r>
          <rPr>
            <b/>
            <sz val="9"/>
            <color indexed="81"/>
            <rFont val="Tahoma"/>
            <family val="2"/>
          </rPr>
          <t>Angie Dayana Hernandez Lobaton:</t>
        </r>
        <r>
          <rPr>
            <sz val="9"/>
            <color indexed="81"/>
            <rFont val="Tahoma"/>
            <family val="2"/>
          </rPr>
          <t xml:space="preserve">
Se realiza traslado por valor de $ 320.000.000
Rubro: A-05-01-02-005-004 SERVICIOS DE CONSTRUCCION 
Item:  SUMINISTRO DE ELEMENTOS DE FERRETERÍA Y OTROS MATERIALES PARA EL MANTENIMIENTO DE LAS VIVIENDAS FISCALES Y SUS ÁREAS COMUNES EN CIUDAD DE BOGOTÁ (Presupuesto comprometido con vigencias fururas desde 2021-2022)
oficio: 33574
Se realiza traslado por valor de $180,000,000
Rubro: A-05-01-02-005-004-05 SERVICIOS ESPECIALES DE CONSTRUCCIÓN
Item: SUMINISTRO DE ELEMENTOS DE FERRETERÍA Y OTROS MATERIALES PARA EL MANTENIMIENTO DE LAS VIVIENDAS FISCALES Y SUS ÁREAS COMUNES EN CIUDAD DE BOGOTÁ (Presupuesto comprometido con vigencias fururas desde 2021-2022)
oficio:  Radicado I-2022-01149 Id: 35075</t>
        </r>
      </text>
    </comment>
    <comment ref="Q219" authorId="1" shapeId="0">
      <text>
        <r>
          <rPr>
            <b/>
            <sz val="9"/>
            <color indexed="81"/>
            <rFont val="Tahoma"/>
            <family val="2"/>
          </rPr>
          <t xml:space="preserve">Angie Dayana Hernandez Lobaton:
</t>
        </r>
        <r>
          <rPr>
            <sz val="9"/>
            <color indexed="81"/>
            <rFont val="Tahoma"/>
            <family val="2"/>
          </rPr>
          <t xml:space="preserve">Se recibe traslado por valor de $45,000,000
rubro: A-05-01-02-005-004-05 SERVICIOS ESPECIALES DE CONSTRUCCIÓN
Item: MANTENIMIENTO PREVENTIVO Y CORRECTIVO A TODO COSTO DE LOS ASCENSORES DE LOS DIFERENTES EDIFICIOS DE VIVIENDAS FISCALES EN BOGOTÁ 2022. (Presupuesto comprometido con
vigencias futuras desde 2021-2022)
oficio: Radicado I-2022-01069 Id: 34628
</t>
        </r>
      </text>
    </comment>
    <comment ref="Q221" authorId="1" shapeId="0">
      <text>
        <r>
          <rPr>
            <b/>
            <sz val="9"/>
            <color indexed="81"/>
            <rFont val="Tahoma"/>
            <family val="2"/>
          </rPr>
          <t>Angie Dayana Hernandez Lobaton:</t>
        </r>
        <r>
          <rPr>
            <sz val="9"/>
            <color indexed="81"/>
            <rFont val="Tahoma"/>
            <family val="2"/>
          </rPr>
          <t xml:space="preserve">
Se realiza traslado por valor de $45,000,000
rubro: A-05-01-02-005-004-05 SERVICIOS ESPECIALES DE CONSTRUCCIÓN
Item: MANTENIMIENTO PREVENTIVO Y CORRECTIVO A TODO COSTO DE LOS ASCENSORES DE LOS DIFERENTES EDIFICIOS DE VIVIENDAS FISCALES EN BOGOTÁ 2022
oficio: Radicado I-2022-01069 Id: 34628</t>
        </r>
      </text>
    </comment>
    <comment ref="Q222" authorId="1" shapeId="0">
      <text>
        <r>
          <rPr>
            <b/>
            <sz val="9"/>
            <color indexed="81"/>
            <rFont val="Tahoma"/>
            <family val="2"/>
          </rPr>
          <t>Angie Dayana Hernandez Lobaton:</t>
        </r>
        <r>
          <rPr>
            <sz val="9"/>
            <color indexed="81"/>
            <rFont val="Tahoma"/>
            <family val="2"/>
          </rPr>
          <t xml:space="preserve">
Se recibe traslado por valor de $ 57.000.000
Rubro: A-05-01-02-005-004 SERVICIOS DE CONSTRUCCION 
Item:  MANTENIMIENTO PREVENTIVO Y CORRECTIVO A TODO COSTO DE LOS CUARTOS DE MAQUINAS Y LAS MOTOBOMBAS DE LAS VIVIENDAS FISCALES A NIVEL NACIONAL (Para tramitar vigencias futuras del 2022-2023)
oficio: 33574</t>
        </r>
      </text>
    </comment>
    <comment ref="Q223" authorId="1" shapeId="0">
      <text>
        <r>
          <rPr>
            <b/>
            <sz val="9"/>
            <color indexed="81"/>
            <rFont val="Tahoma"/>
            <family val="2"/>
          </rPr>
          <t>Angie Dayana Hernandez Lobaton:</t>
        </r>
        <r>
          <rPr>
            <sz val="9"/>
            <color indexed="81"/>
            <rFont val="Tahoma"/>
            <family val="2"/>
          </rPr>
          <t xml:space="preserve">
Se realiza traslado por valor de $ 57.000.000
Rubro: A-05-01-02-005-004 SERVICIOS DE CONSTRUCCION 
Item:  MANTENIMIENTO PREVENTIVO Y CORRECTIVO A TODO COSTO DE LOS CUARTOS DE MAQUINAS Y LAS MOTOBOMBAS DE LAS VIVIENDAS FISCALES A NIVEL NACIONAL (Presupuesto comprometido con vigencias fururas desde 2021-2022)
oficio: 33574</t>
        </r>
      </text>
    </comment>
    <comment ref="Q245" authorId="1" shapeId="0">
      <text>
        <r>
          <rPr>
            <b/>
            <sz val="9"/>
            <color indexed="81"/>
            <rFont val="Tahoma"/>
            <family val="2"/>
          </rPr>
          <t>Angie Dayana Hernandez Lobaton:</t>
        </r>
        <r>
          <rPr>
            <sz val="9"/>
            <color indexed="81"/>
            <rFont val="Tahoma"/>
            <family val="2"/>
          </rPr>
          <t xml:space="preserve">
Se realiza traslado por valor $15.000.000
Rubro: A-05-01-02-008-007 SERVICIOS DE MANTENIMIENTO, REPARACIÓN E INSTALACIÓN (EXCEPTO SERVICIOS DE CONSTRUCCIÓN)
Item :  SERVICIO DE INSPECCIÓN CERTIFICADA PARA EQUIPOS PARA TRABAJO
SEGURO EN ALTURAS (INCLUYE MANTENIMIENTO DE LOS EQUIPOS). 
Oficio:  Radicado I-2022-00930 Id: 33586</t>
        </r>
      </text>
    </comment>
    <comment ref="Q249" authorId="2" shapeId="0">
      <text>
        <r>
          <rPr>
            <b/>
            <sz val="9"/>
            <color indexed="81"/>
            <rFont val="Tahoma"/>
            <family val="2"/>
          </rPr>
          <t>Olga Milena González Gómez:</t>
        </r>
        <r>
          <rPr>
            <sz val="9"/>
            <color indexed="81"/>
            <rFont val="Tahoma"/>
            <family val="2"/>
          </rPr>
          <t xml:space="preserve">
Se recibe traslado por valor de $48142627.  RUBRO: A-05-01-02-008-005-02 ÍTEM: SERVICIO DE VIGILANCIA Y SEGURIDAD PRIVADA SIN ARMAS PARA EL CONJUNTO RESIDENCIAL “HEROES DE COLOMBIA” EN LA CIUDAD DE BOGOTÁ (Para tramitar vigencias futuras del 2022-2023) Oficio ID:32237</t>
        </r>
      </text>
    </comment>
    <comment ref="Q250" authorId="2" shapeId="0">
      <text>
        <r>
          <rPr>
            <b/>
            <sz val="9"/>
            <color indexed="81"/>
            <rFont val="Tahoma"/>
            <family val="2"/>
          </rPr>
          <t>Olga Milena González Gómez:</t>
        </r>
        <r>
          <rPr>
            <sz val="9"/>
            <color indexed="81"/>
            <rFont val="Tahoma"/>
            <family val="2"/>
          </rPr>
          <t xml:space="preserve">
Se realiza traslado por valor de $48142627.  RUBRO: A-05-01-02-008-005-02 ÍTEM: SERVICIO DE VIGILANCIA Y SEGURIDAD PRIVADA SIN ARMAS PARA EL CONJUNTO RESIDENCIAL “HEROES DE COLOMBIA” EN LA CIUDAD DE BOGOTÁ (Para tramitar vigencias futuras del 2021-2022) Oficio ID:32237</t>
        </r>
      </text>
    </comment>
    <comment ref="Q260" authorId="1" shapeId="0">
      <text>
        <r>
          <rPr>
            <b/>
            <sz val="9"/>
            <color indexed="81"/>
            <rFont val="Tahoma"/>
            <family val="2"/>
          </rPr>
          <t>Angie Dayana Hernandez Lobaton:</t>
        </r>
        <r>
          <rPr>
            <sz val="9"/>
            <color indexed="81"/>
            <rFont val="Tahoma"/>
            <family val="2"/>
          </rPr>
          <t xml:space="preserve">
Se crea Item y 
Se recibe traslado por valor $15.000.000
Rubro: A-05-01-02-007-002 OTROS SERVICIOS PROFESIONALES, CIENTÍFICOS Y TÉCNICOS
Item : SERVICIOS DE ENTRENAMIENTO Y CERTIFICACIÓN PARA TRABAJO SEGURO EN ALTURAS DEL ICFE
Oficio:  Radicado I-2022-00930 Id: 33586</t>
        </r>
      </text>
    </comment>
    <comment ref="Q286" authorId="1" shapeId="0">
      <text>
        <r>
          <rPr>
            <b/>
            <sz val="9"/>
            <color indexed="81"/>
            <rFont val="Tahoma"/>
            <family val="2"/>
          </rPr>
          <t>Angie Dayana Hernandez Lobaton:</t>
        </r>
        <r>
          <rPr>
            <sz val="9"/>
            <color indexed="81"/>
            <rFont val="Tahoma"/>
            <family val="2"/>
          </rPr>
          <t xml:space="preserve">
Se realiza adicion por valor de $5.000.000 oficio Radicado I-2022-01067 Id: 34622</t>
        </r>
      </text>
    </comment>
    <comment ref="Q287" authorId="1" shapeId="0">
      <text>
        <r>
          <rPr>
            <b/>
            <sz val="9"/>
            <color indexed="81"/>
            <rFont val="Tahoma"/>
            <family val="2"/>
          </rPr>
          <t>Angie Dayana Hernandez Lobaton:</t>
        </r>
        <r>
          <rPr>
            <sz val="9"/>
            <color indexed="81"/>
            <rFont val="Tahoma"/>
            <family val="2"/>
          </rPr>
          <t xml:space="preserve">
Se realiza reduccion por valor de $5.000.000 oficio Radicado I-2022-01067 Id: 34622</t>
        </r>
      </text>
    </comment>
    <comment ref="Q295" authorId="1" shapeId="0">
      <text>
        <r>
          <rPr>
            <b/>
            <sz val="9"/>
            <color indexed="81"/>
            <rFont val="Tahoma"/>
            <family val="2"/>
          </rPr>
          <t>Angie Dayana Hernandez Lobaton:</t>
        </r>
        <r>
          <rPr>
            <sz val="9"/>
            <color indexed="81"/>
            <rFont val="Tahoma"/>
            <family val="2"/>
          </rPr>
          <t xml:space="preserve">
Se realiza adicion por valor de $37.292.275,5 oficio Radicado I-2022-01067 Id: 34622</t>
        </r>
      </text>
    </comment>
    <comment ref="Q296" authorId="1" shapeId="0">
      <text>
        <r>
          <rPr>
            <b/>
            <sz val="9"/>
            <color indexed="81"/>
            <rFont val="Tahoma"/>
            <family val="2"/>
          </rPr>
          <t>Angie Dayana Hernandez Lobaton:</t>
        </r>
        <r>
          <rPr>
            <sz val="9"/>
            <color indexed="81"/>
            <rFont val="Tahoma"/>
            <family val="2"/>
          </rPr>
          <t xml:space="preserve">
Se realiza traslado dentro del rubro al iten: 
Estudiospreliminares y diseños proyectos de construcción ICFE
Oficio: I-2022-00511 Id: 31369
Se realiza reduccion por valor de $37.292.275,5 oficio Radicado I-2022-01067 Id: 34622</t>
        </r>
      </text>
    </comment>
    <comment ref="Q297" authorId="1" shapeId="0">
      <text>
        <r>
          <rPr>
            <b/>
            <sz val="9"/>
            <color indexed="81"/>
            <rFont val="Tahoma"/>
            <family val="2"/>
          </rPr>
          <t>Angie Dayana Hernandez Lobaton:</t>
        </r>
        <r>
          <rPr>
            <sz val="9"/>
            <color indexed="81"/>
            <rFont val="Tahoma"/>
            <family val="2"/>
          </rPr>
          <t xml:space="preserve">
Se recibe traslado dentro del rubro al iten: 
Estudios y diseños Edificio de Vivienda Fiscal de Diez (10) Pisos en Puente Aranda
Oficio: I-2022-00511 Id: 31369</t>
        </r>
      </text>
    </comment>
    <comment ref="Q304" authorId="2" shapeId="0">
      <text>
        <r>
          <rPr>
            <b/>
            <sz val="9"/>
            <color indexed="81"/>
            <rFont val="Tahoma"/>
            <family val="2"/>
          </rPr>
          <t>Olga Milena González Gómez:</t>
        </r>
        <r>
          <rPr>
            <sz val="9"/>
            <color indexed="81"/>
            <rFont val="Tahoma"/>
            <family val="2"/>
          </rPr>
          <t xml:space="preserve">
Cambios en el Proyecto Inversión. OFICIO ID:32244</t>
        </r>
      </text>
    </comment>
  </commentList>
</comments>
</file>

<file path=xl/sharedStrings.xml><?xml version="1.0" encoding="utf-8"?>
<sst xmlns="http://schemas.openxmlformats.org/spreadsheetml/2006/main" count="4232" uniqueCount="758">
  <si>
    <t>Cuenta / Programa</t>
  </si>
  <si>
    <t>Subcuenta / Subprograma</t>
  </si>
  <si>
    <t>Objeto / Proyecto</t>
  </si>
  <si>
    <t>Ordinal / Subproy</t>
  </si>
  <si>
    <t>SubOrdinal</t>
  </si>
  <si>
    <t>Item</t>
  </si>
  <si>
    <t>SubItem 1</t>
  </si>
  <si>
    <t>A</t>
  </si>
  <si>
    <t>01</t>
  </si>
  <si>
    <t>001</t>
  </si>
  <si>
    <t>002</t>
  </si>
  <si>
    <t>003</t>
  </si>
  <si>
    <t>004</t>
  </si>
  <si>
    <t>005</t>
  </si>
  <si>
    <t>006</t>
  </si>
  <si>
    <t>007</t>
  </si>
  <si>
    <t>008</t>
  </si>
  <si>
    <t>009</t>
  </si>
  <si>
    <t>010</t>
  </si>
  <si>
    <t>VIÁTICOS DE LOS FUNCIONARIOS EN COMISIÓN</t>
  </si>
  <si>
    <t>02</t>
  </si>
  <si>
    <t>1</t>
  </si>
  <si>
    <t>2</t>
  </si>
  <si>
    <t>03</t>
  </si>
  <si>
    <t>04</t>
  </si>
  <si>
    <t>ADQUISICIÓN DE ACTIVOS NO FINANCIEROS</t>
  </si>
  <si>
    <t>ACTIVOS FIJOS</t>
  </si>
  <si>
    <t>05</t>
  </si>
  <si>
    <t>06</t>
  </si>
  <si>
    <t>07</t>
  </si>
  <si>
    <t>08</t>
  </si>
  <si>
    <t>09</t>
  </si>
  <si>
    <t>3</t>
  </si>
  <si>
    <t>4</t>
  </si>
  <si>
    <t>5</t>
  </si>
  <si>
    <t>6</t>
  </si>
  <si>
    <t>MAQUINARIA Y EQUIPO</t>
  </si>
  <si>
    <t>MAQUINARIA PARA USO GENERAL</t>
  </si>
  <si>
    <t>HORNOS Y QUEMADORES PARA ALIMENTACIÓN DE HOGARES Y SUS PARTES Y PIEZAS</t>
  </si>
  <si>
    <t>MAQUINARIA PARA USOS ESPECIALES</t>
  </si>
  <si>
    <t>MÁQUINAS HERRAMIENTAS Y SUS PARTES, PIEZAS Y ACCESORIOS</t>
  </si>
  <si>
    <t>OTRA MAQUINARIA PARA USOS ESPECIALES Y SUS PARTES Y PIEZAS</t>
  </si>
  <si>
    <t>MAQUINARIA DE OFICINA, CONTABILIDAD E INFORMÁTICA</t>
  </si>
  <si>
    <t>MÁQUINAS PARA OFICINA Y CONTABILIDAD, Y SUS PARTES Y ACCESORIOS</t>
  </si>
  <si>
    <t>OTROS ACTIVOS FIJOS</t>
  </si>
  <si>
    <t>PRODUCTOS DE LA PROPIEDAD INTELECTUAL</t>
  </si>
  <si>
    <t>PROGRAMAS DE INFORMÁTICA Y BASES DE DATOS</t>
  </si>
  <si>
    <t>PROGRAMAS DE INFORMÁTICA</t>
  </si>
  <si>
    <t>PAQUETES DE SOFTWARE</t>
  </si>
  <si>
    <t>ADQUISICIONES DIFERENTES DE ACTIVOS</t>
  </si>
  <si>
    <t>MATERIALES Y SUMINISTROS</t>
  </si>
  <si>
    <t>PRODUCTOS ALIMENTICIOS, BEBIDAS Y TABACO; TEXTILES, PRENDAS DE VESTIR Y PRODUCTOS DE CUERO</t>
  </si>
  <si>
    <t>PRODUCTOS DE MOLINERÍA, ALMIDONES Y PRODUCTOS DERIVADOS DEL ALMIDÓN; OTROS PRODUCTOS ALIMENTICIOS</t>
  </si>
  <si>
    <t>AZÚCAR</t>
  </si>
  <si>
    <t>PRODUCTOS DEL CAFÉ</t>
  </si>
  <si>
    <t>ARTÍCULOS TEXTILES (EXCEPTO PRENDAS DE VESTIR)</t>
  </si>
  <si>
    <t>DOTACIÓN (PRENDAS DE VESTIR Y CALZADO)</t>
  </si>
  <si>
    <t>OTROS BIENES TRANSPORTABLES (EXCEPTO PRODUCTOS METÁLICOS, MAQUINARIA Y EQUIPO)</t>
  </si>
  <si>
    <t>PASTA O PULPA, PAPEL Y PRODUCTOS DE PAPEL; IMPRESOS Y ARTÍCULOS RELACIONADOS</t>
  </si>
  <si>
    <t>PASTA DE PAPEL, PAPEL Y CARTÓN</t>
  </si>
  <si>
    <t>PRODUCTOS DE HORNOS DE COQUE; PRODUCTOS DE REFINACIÓN DE PETRÓLEO Y COMBUSTIBLE NUCLEAR</t>
  </si>
  <si>
    <t>GAS DE PETRÓLEO Y OTROS HIDROCARBUROS GASEOSOS (EXCEPTO GAS NATURAL)</t>
  </si>
  <si>
    <t>QUÍMICOS BÁSICOS</t>
  </si>
  <si>
    <t>ABONOS Y PLAGUICIDAS</t>
  </si>
  <si>
    <t>OTROS PRODUCTOS QUÍMICOS; FIBRAS ARTIFICIALES (O FIBRAS INDUSTRIALES HECHAS POR EL HOMBRE)</t>
  </si>
  <si>
    <t>JABÓN, PREPARADOS PARA LIMPIEZA, PERFUMES Y PREPARADOS DE TOCADOR</t>
  </si>
  <si>
    <t>PRODUCTOS DE CAUCHO Y PLÁSTICO</t>
  </si>
  <si>
    <t>LLANTAS DE CAUCHO Y NEUMÁTICOS (CÁMARAS DE AIRE)</t>
  </si>
  <si>
    <t>OTROS PRODUCTOS DE CAUCHO</t>
  </si>
  <si>
    <t>SEMIMANUFACTURAS DE PLÁSTICO</t>
  </si>
  <si>
    <t>PRODUCTOS DE EMPAQUE Y ENVASADO, DE PLÁSTICO</t>
  </si>
  <si>
    <t>VIDRIO Y PRODUCTOS DE VIDRIO Y OTROS PRODUCTOS NO METÁLICOS N.C.P.</t>
  </si>
  <si>
    <t>VIDRIO Y PRODUCTOS DE VIDRIO</t>
  </si>
  <si>
    <t>PRODUCTOS METÁLICOS Y PAQUETES DE SOFTWARE</t>
  </si>
  <si>
    <t>PRODUCTOS METÁLICOS ELABORADOS (EXCEPTO MAQUINARIA Y EQUIPO)</t>
  </si>
  <si>
    <t>ADQUISICIÓN DE SERVICIOS</t>
  </si>
  <si>
    <t>SERVICIOS DE LA CONSTRUCCIÓN</t>
  </si>
  <si>
    <t>SERVICIOS DE CONSTRUCCIÓN</t>
  </si>
  <si>
    <t>SERVICIOS ESPECIALES DE CONSTRUCCIÓN</t>
  </si>
  <si>
    <t>SERVICIOS DE INSTALACIONES</t>
  </si>
  <si>
    <t>SERVICIOS DE TERMINACIÓN Y ACABADOS DE EDIFICIOS</t>
  </si>
  <si>
    <t>SERVICIOS DE ALOJAMIENTO; SERVICIOS DE SUMINISTRO DE COMIDAS Y BEBIDAS; SERVICIOS DE TRANSPORTE; Y SERVICIOS DE DISTRIBUCIÓN DE ELECTRICIDAD, GAS Y AGUA</t>
  </si>
  <si>
    <t>SERVICIOS DE TRANSPORTE DE PASAJEROS</t>
  </si>
  <si>
    <t>SERVICIOS POSTALES Y DE MENSAJERÍA</t>
  </si>
  <si>
    <t>SERVICIOS DE DISTRIBUCIÓN DE ELECTRICIDAD, GAS Y AGUA (POR CUENTA PROPIA)</t>
  </si>
  <si>
    <t>SERVICIOS DE DISTRIBUCIÓN DE ELECTRICIDAD, Y SERVICIOS DE DISTRIBUCIÓN DE GAS (POR CUENTA PROPIA)</t>
  </si>
  <si>
    <t>SERVICIOS FINANCIEROS Y SERVICIOS CONEXOS, SERVICIOS INMOBILIARIOS Y SERVICIOS DE LEASING</t>
  </si>
  <si>
    <t>SERVICIOS DE SEGUROS Y PENSIONES (CON EXCLUSIÓN DE SERVICIOS DE REASEGURO), EXCEPTO LOS SERVICIOS DE SEGUROS SOCIALES</t>
  </si>
  <si>
    <t>OTROS SERVICIOS DE SEGUROS DISTINTOS A LOS SEGUROS DE VIDA (EXCEPTO LOS SERVICIOS DE REASEGURO)</t>
  </si>
  <si>
    <t>SERVICIOS DE SEGUROS CONTRA INCENDIO, TERREMOTO O SUSTRACCIÓN</t>
  </si>
  <si>
    <t>SERVICIOS DE SEGURO OBLIGATORIO DE ACCIDENTES DE TRÁNSITO (SOAT)</t>
  </si>
  <si>
    <t>SERVICIOS PRESTADOS A LAS EMPRESAS Y SERVICIOS DE PRODUCCIÓN</t>
  </si>
  <si>
    <t>SERVICIOS JURÍDICOS Y CONTABLES</t>
  </si>
  <si>
    <t>SERVICIOS JURÍDICOS</t>
  </si>
  <si>
    <t>SERVICIOS DE CONTABILIDAD, AUDITORÍA Y TENEDURÍA DE LIBROS</t>
  </si>
  <si>
    <t>OTROS SERVICIOS PROFESIONALES, CIENTÍFICOS Y TÉCNICOS</t>
  </si>
  <si>
    <t>SERVICIOS DE CONSULTORÍA EN ADMINISTRACIÓN Y SERVICIOS DE GESTIÓN</t>
  </si>
  <si>
    <t>SERVICIOS DE CONSULTORÍA PRESTADOS A LAS EMPRESAS</t>
  </si>
  <si>
    <t>SERVICIOS DE TECNOLOGÍA DE LA INFORMACIÓN (TI) DE CONSULTORÍA Y DE APOYO</t>
  </si>
  <si>
    <t>SERVICIOS DE DISEÑO Y DESARROLLO DE LA TECNOLOGÍA DE LA INFORMACIÓN (TI)</t>
  </si>
  <si>
    <t>SERVICIOS DE GESTIÓN DE RED E INFRAESTRUCTURA DE TI</t>
  </si>
  <si>
    <t>SERVICIOS DE TELECOMUNICACIONES, TRANSMISIÓN Y SUMINISTRO DE INFORMACIÓN</t>
  </si>
  <si>
    <t>SERVICIOS DE TELEFONÍA Y OTRAS TELECOMUNICACIONES</t>
  </si>
  <si>
    <t>SERVICIOS DE TELECOMUNICACIONES A TRAVÉS DE INTERNET</t>
  </si>
  <si>
    <t>SERVICIOS DE SOPORTE</t>
  </si>
  <si>
    <t>SERVICIOS DE LIMPIEZA</t>
  </si>
  <si>
    <t>SERVICIOS DE MANTENIMIENTO, REPARACIÓN E INSTALACIÓN (EXCEPTO SERVICIOS DE CONSTRUCCIÓN)</t>
  </si>
  <si>
    <t>SERVICIOS DE MANTENIMIENTO Y REPARACIÓN DE PRODUCTOS METÁLICOS ELABORADOS, MAQUINARIA Y EQUIPO</t>
  </si>
  <si>
    <t>SERVICIOS DE MANTENIMIENTO Y REPARACIÓN DE OTRA MAQUINARIA Y OTRO EQUIPO</t>
  </si>
  <si>
    <t>SERVICIOS DE INSTALACIÓN (DISTINTOS DE LOS SERVICIOS DE CONSTRUCCIÓN)</t>
  </si>
  <si>
    <t>SERVICIOS DE INSTALACIÓN DE PRODUCTOS METÁLICOS ELABORADOS, EXCEPTO MAQUINARIA Y EQUIPO</t>
  </si>
  <si>
    <t>SERVICIOS PARA LA COMUNIDAD, SOCIALES Y PERSONALES</t>
  </si>
  <si>
    <t>SERVICIOS DE EDUCACIÓN</t>
  </si>
  <si>
    <t>OTROS TIPOS DE EDUCACIÓN Y SERVICIOS DE APOYO EDUCATIVO</t>
  </si>
  <si>
    <t>SERVICIOS DE ESPARCIMIENTO, CULTURALES Y DEPORTIVOS</t>
  </si>
  <si>
    <t>SERVICIOS DEPORTIVOS Y DEPORTES RECREATIVOS</t>
  </si>
  <si>
    <t>OTROS SERVICIOS DE ESPARCIMIENTO Y DIVERSIÓN</t>
  </si>
  <si>
    <t>OTROS SERVICIOS</t>
  </si>
  <si>
    <t>SERVICIOS DE LAVADO, LIMPIEZA Y TEÑIDO</t>
  </si>
  <si>
    <t>OTROS SERVICIOS DIVERSOS N.C.P.</t>
  </si>
  <si>
    <t>GASTOS DE COMERCIALIZACIÓN Y PRODUCCIÓN</t>
  </si>
  <si>
    <t>PRODUCTOS METÁLICOS, MAQUINARIA Y EQUIPO</t>
  </si>
  <si>
    <t>SERVICIOS DE CONSULTORÍA EN ADMINISTRACIÓN Y SERVICIOS DE GESTIÓN; SERVICIOS DE TECNOLOGÍA DE LA INFORMACIÓN</t>
  </si>
  <si>
    <t>DISMINUCIÓN DE PASIVOS</t>
  </si>
  <si>
    <t>CESANTÍAS</t>
  </si>
  <si>
    <t>DEPÓSITO EN PRENDA</t>
  </si>
  <si>
    <t>GASTOS POR TRIBUTOS, MULTAS, SANCIONES E INTERESES DE MORA</t>
  </si>
  <si>
    <t>IMPUESTOS</t>
  </si>
  <si>
    <t>IMPUESTOS TERRITORIALES</t>
  </si>
  <si>
    <t>IMPUESTO PREDIAL</t>
  </si>
  <si>
    <t>IMPUESTO DE INDUSTRIA Y COMERCIO</t>
  </si>
  <si>
    <t>IMPUESTO SOBRE VEHÍCULOS AUTOMOTORES</t>
  </si>
  <si>
    <t>CONTRIBUCIONES</t>
  </si>
  <si>
    <t>CUOTA DE FISCALIZACIÓN Y AUDITAJE</t>
  </si>
  <si>
    <t>Tipo Presupuesto</t>
  </si>
  <si>
    <t>SubItem 2</t>
  </si>
  <si>
    <t>SERVICIOS DE MANTENIMIENTO Y REPARACIÓN DE COMPUTADORES Y EQUIPO PERIFÉRICO</t>
  </si>
  <si>
    <t>SERVICIOS DE MANTENIMIENTO Y REPARACIÓN DE MAQUINARIA Y EQUIPO DE TRANSPORTE</t>
  </si>
  <si>
    <t>DIARIOS, REVISTAS Y PUBLICACIONES PERIÓDICAS, PUBLICADOS MENOS DE CUATRO VECES POR SEMANA</t>
  </si>
  <si>
    <t>SERVICIOS FINANCIEROS Y SERVICIOS CONEXOS</t>
  </si>
  <si>
    <t>PRODUCTOS FARMACÉUTICOS</t>
  </si>
  <si>
    <t>INSTRUMENTOS Y APARATOS DE MEDICIÓN, VERIFICACIÓN, ANÁLISIS, DE NAVEGACIÓN Y PARA OTROS FINES (EXCEPTO INSTRUMENTOS ÓPTICOS); INSTRUMENTOS DE CONTROL DE PROCESOS INDUSTRIALES, SUS PARTES, PIEZAS Y ACCESORIOS</t>
  </si>
  <si>
    <t>INSTRUMENTOS ÓPTICOS Y EQUIPO FOTOGRÁFICO; PARTES, PIEZAS Y ACCESORIOS</t>
  </si>
  <si>
    <t>APARATOS MÉDICOS, INSTRUMENTOS ÓPTICOS Y DE PRECISIÓN, RELOJES</t>
  </si>
  <si>
    <t>SERVICIOS PARA EL CUIDADO DE LA SALUD HUMANA Y SERVICIOS SOCIALES</t>
  </si>
  <si>
    <t>SERVICIOS DE SALUD HUMANA</t>
  </si>
  <si>
    <t>APARATOS DE USO DOMÉSTICO Y SUS PARTES Y PIEZAS</t>
  </si>
  <si>
    <t>SERVICIOS DE ALCANTARILLADO, RECOLECCIÓN, TRATAMIENTO Y DISPOSICIÓN DE DESECHOS Y OTROS SERVICIOS DE SANEAMIENTO AMBIENTAL</t>
  </si>
  <si>
    <t>SERVICIOS DE ALCANTARILLADO, SERVICIOS DE LIMPIEZA, TRATAMIENTO DE AGUAS RESIDUALES Y TANQUES SÉPTICOS</t>
  </si>
  <si>
    <t>C</t>
  </si>
  <si>
    <t>1505</t>
  </si>
  <si>
    <t>0100</t>
  </si>
  <si>
    <t>INVERSION</t>
  </si>
  <si>
    <t>GENERACIÓN DE BIENESTAR PARA LA FUERZA PÚBLICA Y SUS FAMILIAS</t>
  </si>
  <si>
    <t>INTERSUBSECTORIAL DEFENSA Y SEGURIDAD</t>
  </si>
  <si>
    <t>000</t>
  </si>
  <si>
    <t>AGRICULTURA, SILVICULTURA Y PRODUCTOS DE LA PESCA</t>
  </si>
  <si>
    <t>PRODUCTOS DE LA AGRICULTURA Y LA HORTICULTURA</t>
  </si>
  <si>
    <t>PRODUCTOS DE FORRAJE, FIBRAS, PLANTAS VIVAS, FLORES Y CAPULLOS DE FLORES, TABACO EN RAMA Y CAUCHO NATURAL</t>
  </si>
  <si>
    <t>CONSTRUCCION DE VIVIENDA FISCAL A NIVEL NACIONAL</t>
  </si>
  <si>
    <t>Fecha estimada de inicio de proceso de selección</t>
  </si>
  <si>
    <t>Duración estimada del contrato</t>
  </si>
  <si>
    <t xml:space="preserve">Modalidad de selección </t>
  </si>
  <si>
    <t>Códigos UNSPSC</t>
  </si>
  <si>
    <t>Descripción</t>
  </si>
  <si>
    <t>¿Se requieren vigencias futuras del 2021?</t>
  </si>
  <si>
    <t>Dependencia responsable</t>
  </si>
  <si>
    <t>Valor total incluido vigencias futuras 2020+2021</t>
  </si>
  <si>
    <t>ADQUISICIONES PLANEADAS</t>
  </si>
  <si>
    <t>PLAN ANUAL DE ADQUISICIONES VIGENCIA 2020 - ICFE</t>
  </si>
  <si>
    <t>MANTENIMIENTO RECUPERATIVO Y ESTRUCTURAL DE VIVIENDAS FISCALES Y SUS AREAS COMUNES A NIVEL NACIONAL</t>
  </si>
  <si>
    <t>LICENCIAMIENTO DE OFIMATICA Y SISTEMAS OPERATIVOS</t>
  </si>
  <si>
    <t xml:space="preserve">RENOVACION DE LICENCIAS DE FIREWALL, VPN Y ANTIVIRUS </t>
  </si>
  <si>
    <t>ADQUISICION Y RENOVACION DE LICENCIAS DE APOYO ADMINISTRATIVO</t>
  </si>
  <si>
    <t>CERTIFICADOS DIGITALES DE FUNCION PUBLICA Y SSL</t>
  </si>
  <si>
    <t>SERVICIO DE AUDITORIA Y ACOMPAÑAMIENTO EN LA PLATAFORMA SAP DEL ICFE</t>
  </si>
  <si>
    <t>ACTUALIZACIONES CON SOPORTE PARA LA PLATAFORMA VISION EMPRESARIAL</t>
  </si>
  <si>
    <t>SERVICIO DE SOPORTE Y MANTENIMIENTO ERP SAP DE FABRICA</t>
  </si>
  <si>
    <t>SERVICIO DE IMPLEMENTACION DE DIRECCIONAMIENTO IPV6</t>
  </si>
  <si>
    <t>SERVICIO DE ACTUALIZACIONES Y  MEJORAS SAIMF PROFESIONAL DE INGENIERIA DESARROLLADOR SENIOR SAIMF</t>
  </si>
  <si>
    <t>SOPORTE Y MANTENIMIENTO ESPECIALIZADO SOBRE LA INFRAESTRUCTURA DE SERVIDORES INFORMATICOS</t>
  </si>
  <si>
    <t>INFORMATICA</t>
  </si>
  <si>
    <t>CAPACITACION IPV6</t>
  </si>
  <si>
    <t>SUMINISTRO DE DOTACIÓN PARA EL PERSONAL DE EMPLEADOS PÚBLICOS Y  TRABAJADORES OFICIALES DEL ICFE</t>
  </si>
  <si>
    <t>PLANTAS AROMÁTICAS, BEBESTIBLES Y ESPECIAS</t>
  </si>
  <si>
    <t>PRODUCTOS LÁCTEOS Y OVOPRODUCTOS</t>
  </si>
  <si>
    <t>EQUIPOS DE PRIMEROS AUXILIOS (BOTIQUINES SST)</t>
  </si>
  <si>
    <t xml:space="preserve">SEÑALIZACIÓN </t>
  </si>
  <si>
    <t>OTROS BIENES TRANSPORTABLES N.C.P.</t>
  </si>
  <si>
    <t>OTROS ARTÍCULOS MANUFACTURADOS N.C.P.</t>
  </si>
  <si>
    <t>PRESTACIÓN DE SERVICIOS DE CAPACITACIÓN PARA EL PERSONAL EMPLEADOS PÚBLICOS Y TRABAJADORES OFICIALES DEL ICFE</t>
  </si>
  <si>
    <t>APOYO ECONÓMICO PARA LOS SERVIDORES PÚBLICOS DEL ICFE</t>
  </si>
  <si>
    <t>ACTIVIDADES DE BIENESTAR, INCENTIVOS Y CLIMA ORGANIZACIONAL  PARA LOS FUNCIONARIOS DEL ICFE</t>
  </si>
  <si>
    <t>PRESTACIÓN DE SERVICIOS PROFESIONALES DE APOYO A LA GESTIÓN PARA REALIZAR “PARA LA IMPLEMENTACIÓN DEL SISTEMA DE SEGURIDAD Y SALUD EN EL TRABAJO E INTEGRACIÓN CON OTROS SISTEMAS DE GESTIÓN</t>
  </si>
  <si>
    <t>TALENTO HUMANO</t>
  </si>
  <si>
    <t>SUMINISTRO Y PUESTA EN FUNCIONAMIENTO DEL SISTEMA DE ALARMA DE EMERGENCIAS PARA EL ICFE</t>
  </si>
  <si>
    <t>EXAMENES MEDICOS (SST) Y VACUNACION (SST) Y LABORATORIOS</t>
  </si>
  <si>
    <t>GABINETES CONTRA INCENDIO</t>
  </si>
  <si>
    <t>SUMINISTRO DE ELEMENTOS DE FERRETERÍA Y OTROS MATERIALES PARA EL MANTENIMIENTO DE LAS VIVIENDAS FISCALES Y SUS ÁREAS COMUNES EN CIUDAD DE BOGOTÁ (Para tramitar vigencias futuras del 2021)</t>
  </si>
  <si>
    <t>SUMINISTRO DE ELEMENTOS DE FERRETERÍA Y OTROS MATERIALES PARA EL MANTENIMIENTO DE LAS VIVIENDAS FISCALES Y SUS ÁREAS COMUNES EN EN LAS SECCIONALES A NIVEL NACIONAL</t>
  </si>
  <si>
    <t>ADQUISICION DE  MAQUINARIA Y HERRAMIENTA PARA EL ICFE</t>
  </si>
  <si>
    <t>MANTENIMIENTO PREVENTIVO Y CORRECTIVO A TODO COSTO DE LOS CUARTOS DE MAQUINAS Y LAS MOTOBOMBAS DE LAS VIVIENDAS FISCALES A NIVEL NACIONAL (Para tramitar vigencias futuras del 2021)</t>
  </si>
  <si>
    <t>MANTENIMIENTO PREVENTIVO Y CORRECTIVO A TODO COSTO DE LAS PLANTAS ELECTRICAS DE LAS VIVIENDAS FISCALES DE BOGOTÁ (Para tramitar vigencias futuras del 2021)</t>
  </si>
  <si>
    <t>MANTENIMIENTO PREVENTIVO Y CORRECTIVO A TODO COSTO DE LOS ASCENSORES DE LOS DIFERENTES EDIFICIOS DE VIVIENDAS FISCALES EN BOGOTÁ (Para tramitar vigencias futuras del 2021)</t>
  </si>
  <si>
    <t>SERVICIO DE MANTENIMIENTO CORRECTIVO Y PREVENTIVO A TODO COSTO DE MAQUINARIA Y HERRAMIENTAS DEL AREA DE MANTENIMIENTO DEL ICFE</t>
  </si>
  <si>
    <t>PRESTACIÓN DE SERVICIOS PROFESIONALES Y DE APOYO A LA GESTIÓN EN EL AREA DE MANTENIMIENTO DEL ICFE, PARA LA ESTRUCTURACIÓN DE LOS PROCESOS DE CONTRATACIÓN PUBLICA</t>
  </si>
  <si>
    <t>SUMINISTRO DE COMBUSTIBLE PARA PLANTAS ELECTRICAS, GUADAÑAS Y MAQUINARIAPARA EL MANTENIMIENTO DE LAS VIVIENDAS FISCALES EN BOGOTA</t>
  </si>
  <si>
    <t>SERVICIOS DE LIMPIEZA Y ASEO DE AREAS COMUNES DE VIVIENDAS FISCALES DE BOGOTA</t>
  </si>
  <si>
    <t>SERVICIOS DE EXTERMINACIÓN DE ROEDORES Y CONTROL QUÍMICO DE VECTORES DE LAS VIVIENDAS FISCALES DE BOGOTÁ</t>
  </si>
  <si>
    <t xml:space="preserve">LAVADO Y DESINFECCIÓN DE TANQUES DE AGUA POTABLE DE LAS VIVIENDAS FISCALES DE BOGOTÁ </t>
  </si>
  <si>
    <t>SUMINISTRO DE PLANTAS EXTERIORES E INSUMOS PARA JARDÍN DE LAS VIVIENDAS FISCALES DE BOGOTÁ</t>
  </si>
  <si>
    <t>PRESTACIÓN DE SERVICIOS DE ENTRENAMIENTO Y CERTIFICACIÓN PARA TRABAJO SEGURO EN ALTURAS DEL PERSONAL DEL ICFE</t>
  </si>
  <si>
    <t>LAVADO Y MANTENIMIENTO DE ALFOMBRAS DE VIVIENDAS DE LOS CONJUNTOS RESIDENCIALES DE LA GUARNICIÓN BOGOTA</t>
  </si>
  <si>
    <t>RUBRO PARA CONVENIOS INTERADMINISTRATIVOS PARA MANTENIMIENTO DE VIVIENDAS FISCALES A NIVEL NACIONAL</t>
  </si>
  <si>
    <t>PRESTACION DE SERVICIOS DE ACTIVIDADES DE MANTENIMIENTO  BÁSICO Y ACABADOS DE LAS VIVIENDAS FISCALES A NIVEL NACIONAL</t>
  </si>
  <si>
    <t>PRESTACION DE SERVICIOS PARA LA APLICACIÓN DE PINTURA EN ESTRUCTURAS DE ACUERDO AL TIPO DE ACABADO SOLICITADO EN LAS VIVIENDAS FISCALES</t>
  </si>
  <si>
    <t>PRESTACION DE SERVICIOS TÉCNICOS DE INSTALACIONES DE GAS DOMICILIARIAS PARA LAS VIVIENDAS FISCALES</t>
  </si>
  <si>
    <t>SUMINISTRO E INSTALACIÓN DE VIDRIOS CRUDOS, TEMPLADOS Y CARPINTERÍA EN ALUMINIO PARA LAS VIVIENDAS FISCALES</t>
  </si>
  <si>
    <t>SUMINISTRO DE ELEMENTOS DE PAPELERÍA , ÚTILES DE ESCRITORIO Y OFICINA (INCLUYE ELEMENTO DE ARCHIVO)</t>
  </si>
  <si>
    <t>SUMINISTRO E INSTALACIÓN DE ESTUFAS Y CALENTADORES A GAS PARA LAS VIVIENDAS FISCALES</t>
  </si>
  <si>
    <t>MODERNIZACIÓN, AJUSTE A LA NORMA Y CERTIFICACIÓN DE LOS ASCENSORES DE LAS VIVIENDAS FISCALES</t>
  </si>
  <si>
    <t>MANTENIMIENTO</t>
  </si>
  <si>
    <t>ATENCION AL USUARIO</t>
  </si>
  <si>
    <t>MANTENIMIENTO PREVENTIVO Y CORRECTIVO A TODO COSTO DE LOS CUARTOS DE MAQUINAS Y LAS MOTOBOMBAS DE LAS VIVIENDAS FISCALES A NIVEL NACIONAL (Presupuesto comprometido con vigencias fururas desde 2019)</t>
  </si>
  <si>
    <t>MANTENIMIENTO PREVENTIVO Y CORRECTIVO A TODO COSTO DE LAS PLANTAS ELECTRICAS DE LAS VIVIENDAS FISCALES DE BOGOTÁ (Presupuesto comprometido con vigencias fururas desde 2019)</t>
  </si>
  <si>
    <t>SUMINISTRO DE ELEMENTOS DE FERRETERÍA Y OTROS MATERIALES PARA EL MANTENIMIENTO DE LAS VIVIENDAS FISCALES Y SUS ÁREAS COMUNES EN CIUDAD DE BOGOTÁ (Presupuesto comprometido con vigencias fururas desde 2019)</t>
  </si>
  <si>
    <t>MANTENIMIENTO PREVENTIVO Y CORRECTIVO A TODO COSTO DE LOS ASCENSORES DE LOS DIFERENTES EDIFICIOS DE VIVIENDAS FISCALES EN BOGOTÁ (Presupuesto comprometido con vigencias fururas desde 2019)</t>
  </si>
  <si>
    <t>SERVICIO DE MANTENIMIENTO DE CIRCUITOS CERRADOS DE TV PARA LAS AREAS COMUNES DE LAS VIVIENDAS FISCALES EN BOGOTA (Presupuesto comprometido con vigencias fururas desde 2019)</t>
  </si>
  <si>
    <t>SERVICIO DE MANTENIMIENTO DE CIRCUITOS CERRADOS DE TV PARA LAS AREAS COMUNES DE LAS VIVIENDAS FISCALES EN BOGOTA (Para tramitar vigencias futuras del 2021)</t>
  </si>
  <si>
    <t>SOLUCION DE CORREO ELECTRONICO (160)</t>
  </si>
  <si>
    <t>CANAL DEDICADO A INTERNET (SERVICIO DE CONECTIVIDAD A INTERNET Y ENLACE DEDICADO DE DATOS) (Presupuesto comprometido con vigencias fururas desde 2019)</t>
  </si>
  <si>
    <t>CANAL DEDICADO A INTERNET (SERVICIO DE CONECTIVIDAD A INTERNET Y ENLACE DEDICADO DE DATOS) (Para tramitar vigencias futuras del 2021)</t>
  </si>
  <si>
    <t>SOPORTE Y MANTENIMINENTO INFRAESTRUCTURA DE SEGURIDAD INFORMATICA (Presupuesto comprometido con vigencias fururas desde 2019)</t>
  </si>
  <si>
    <t>ACTUALIZACIONES CON SOPORTE PARA LA PLATAFORMA DE SISTEMA DE GESTION DOCUMENTAL</t>
  </si>
  <si>
    <t xml:space="preserve">PRESTACION DE SERVICIOS PROFESIONAL ESPECILIZADO EN SEGURIDAD INFORMATICA Y APOYO EN ESTRUCTURACION DE ESTUDIOS </t>
  </si>
  <si>
    <t xml:space="preserve">PRESTACION DE SERVICIOS PROFESIONAL DE INGENIERIA DESARROLLADOR JUNIOR MANTENIMIENTO Y SOPORTE SAIMF </t>
  </si>
  <si>
    <t>SERVICIO DE MANTENIMIENTO Y SOPORTE DEL PORTAL WEB (Presupuesto comprometido con vigencias fururas desde 2019)</t>
  </si>
  <si>
    <t>ADQUISICIÓN, INSTALACIÓN, IMPLEMENTACIÓN Y SOPORTE DE UNA SOLUCIÓN DE SOFTWARE PARA LA ADMINISTRACIÓN DEL SISTEMA DE GESTIÓN DOCUMENTAL ELECTRÓNICO DE ARCHIVO (Presupuesto comprometido con vigencias fururas desde 2019)</t>
  </si>
  <si>
    <t>SUMINISTRO DE COMBUSTIBLE PARA LOS VEHICULOS</t>
  </si>
  <si>
    <t>SUSCRIPCION A INFORMACION Y ACTUALIZACION JURIDICA - LEGIS</t>
  </si>
  <si>
    <t>IMPRESOS Y PUBLICACIONES (Caja menor)</t>
  </si>
  <si>
    <t>ACEITES DE PETRÓLEO O ACEITES OBTENIDOS DE MINERALES BITUMINOSOS (EXCEPTO LOS ACEITES CRUDOS); PREPARADOS N.C.P., QUE CONTENGAN POR LO MENOS EL 70% DE SU PESO EN ACEITES DE ESOS TIPOS Y CUYOS COMPONENTES BÁSICOS SEAN ESOS ACEITES</t>
  </si>
  <si>
    <t>SUMINISTRO DE LUBRICANTE PARA LOS VEHICULOS</t>
  </si>
  <si>
    <t>ADQUISICION DE LLANTAS PARA LOS VEHICULOS DE ICFE</t>
  </si>
  <si>
    <t>ARCHIVADORES RODANTES PARA EL ARCHIVO CENTRAL</t>
  </si>
  <si>
    <t xml:space="preserve">TRANSPORTE DE PASAJEROS (TIQUETES AEREOS) VIATICOS </t>
  </si>
  <si>
    <t xml:space="preserve">TRANSPORTE DE PASAJEROS (TIQUETES TERRESTRES) VIATICOS </t>
  </si>
  <si>
    <t>SERVICIO DE CORREO SERVICIOS PUBLICOS</t>
  </si>
  <si>
    <t>PEAJES (caja menor)</t>
  </si>
  <si>
    <t>CORREO (caja menor)</t>
  </si>
  <si>
    <t>SUMINISTRO ELECTRICIDAD MONOFÁSICA</t>
  </si>
  <si>
    <t>SUMINISTRO GAS NATURAL</t>
  </si>
  <si>
    <t>PRESTACIÓN DE SERVICIOS PROFESIONALES DE UN ABOGADO (A) EN APOYO AL TRÁMITE DE PROCESOS ADMINISTRATIVOS SANCIONATORIOS Y/O DE EJECUCIÓN DE PÓLIZAS EN EL ÁMBITO CONTRACTUAL, A LAS SOLICITUDES PRESENTADAS POR AUTORIDADES ADMINISTRATIVAS, REPRESENTACIÓN JUDICIAL Y OTRAS ACTIVIDADES ASIGNADAS</t>
  </si>
  <si>
    <t>JURUDICA</t>
  </si>
  <si>
    <t>CONTRATOS</t>
  </si>
  <si>
    <t>SERVICIO DE REVISORIA FISCAL</t>
  </si>
  <si>
    <t>PRESTACIÓN DE SERVICIOS PROFESIONALES DE UN ADMINISTRADOR FINANCIERO CON CONOCIMIENTO EN LA ELABORACIÓN DE ESTUDIOS DEL SECTOR Y ESTUDIOS DE MERCADO PARA LOS PROCESOS DE CONTRATACIÓN DEL ICFE</t>
  </si>
  <si>
    <t xml:space="preserve">PRESTACION DE SERVICIOS DE UN AUXILIAR ADMINISTRATIVO, PARA APOYO  AL AREA  DE ALMACEN </t>
  </si>
  <si>
    <t>PRESTACIÓN DE SERVICIOS PROFESIONALES DE UN ABOGADO (A) EN APOYO PARA LA ASESORÍA EN PROCESOS DE CONTRATACIÓN Y DEMÁS ACTUACIONES ADMINISTRATIVAS DEL GRUPO DE ADQUISICIONES DE BIENES Y SERVICIOS DEL ICFE</t>
  </si>
  <si>
    <t>CALIBRACION Y MANTENIMIENTO EQUIPO DE TOPOGRAFIA</t>
  </si>
  <si>
    <t>SERVICIO DE AUDITORIA EXTERNA AL SGC Y SGA</t>
  </si>
  <si>
    <t>SERVICIOS PUBLICOS CUOTA USUARIO</t>
  </si>
  <si>
    <t>SERVICIOS DE TELEFONÍA CELULAR</t>
  </si>
  <si>
    <t>COMUNICACIONES TELEFÓNICAS LOCALES Y DE LARGA DISTANCIA</t>
  </si>
  <si>
    <t>COMUNICACIONES (Caja menor)</t>
  </si>
  <si>
    <t>MANTENIMIENTO PREVENTIVO Y CORRECTIVO A TODO COSTO Y REPUESTOS PARA LOS VEHICULOS DEL ICFE</t>
  </si>
  <si>
    <t>MANTENIMIENTO DE OTROS BIENES Y EQUIPOS (Caja menor)</t>
  </si>
  <si>
    <t>TRANSPORTES</t>
  </si>
  <si>
    <t>FINCA RAIZ</t>
  </si>
  <si>
    <t>PLANEACION</t>
  </si>
  <si>
    <t>AYUDANTIA SUBD</t>
  </si>
  <si>
    <t>SERVICIOS PUBLICOS</t>
  </si>
  <si>
    <t>VIVIENDAS</t>
  </si>
  <si>
    <t xml:space="preserve">SERVICIO DE ACUEDUCTO Y ALCANTARILLADO </t>
  </si>
  <si>
    <t>ALMACEN</t>
  </si>
  <si>
    <t>OTROS MATERIALES Y SUMINISTROS (Caja menor)</t>
  </si>
  <si>
    <t>FINANCIERA</t>
  </si>
  <si>
    <t>SUMINISTRO DE ELEMENTOS DE SEGURIDAD INDUSTRIAL Y DOTACIÓN SST (1 de 4)</t>
  </si>
  <si>
    <t>SUMINISTRO DE ELEMENTOS DE SEGURIDAD INDUSTRIAL Y DOTACIÓN SST (2 de 4)</t>
  </si>
  <si>
    <t>SUMINISTRO DE ELEMENTOS DE SEGURIDAD INDUSTRIAL Y DOTACIÓN SST (3 de 4)</t>
  </si>
  <si>
    <t>SUMINISTRO DE ELEMENTOS DE SEGURIDAD INDUSTRIAL Y DOTACIÓN SST (4 de 4)</t>
  </si>
  <si>
    <t>EQUIPOS DE TRABAJO EN ALTURAS (SST) (1 de 2)</t>
  </si>
  <si>
    <t>EQUIPOS DE TRABAJO EN ALTURAS (SST) (2 de 2)</t>
  </si>
  <si>
    <t>COMPUTADORES DE ESCRITORIO (Cantidad 20)</t>
  </si>
  <si>
    <t>ESCANERS (Cantidad 2)</t>
  </si>
  <si>
    <t>MONITORES CCTV (Cantidad 5)</t>
  </si>
  <si>
    <t>ALMACENAMIENTO TB (Cantidad 8)</t>
  </si>
  <si>
    <t>CAPACITACION EN TOGAF o COBIT (1 persona)</t>
  </si>
  <si>
    <t>CAPACITACION EN WINDOWS SERVER 2016 Y VIRTUALIZACION (2 personas)</t>
  </si>
  <si>
    <t>CAPACITACION EN SGC Y SGA (AUDITORES INTERNOS) (20 personas)</t>
  </si>
  <si>
    <t xml:space="preserve">MAQUINARIA DE INFORMÁTICA Y SUS PARTES, PIEZAS Y ACCESORIOS </t>
  </si>
  <si>
    <t>GESTION DOCUMENTAL</t>
  </si>
  <si>
    <t>Valor techo proyecto de presupuesto 2020</t>
  </si>
  <si>
    <t xml:space="preserve">GABINETES (Cantidad 5) </t>
  </si>
  <si>
    <t>1 mes</t>
  </si>
  <si>
    <t>FOTOPLANO</t>
  </si>
  <si>
    <t>7 meses</t>
  </si>
  <si>
    <t>80111500
81112200</t>
  </si>
  <si>
    <t>56121800
56101700</t>
  </si>
  <si>
    <t>10 meses</t>
  </si>
  <si>
    <t>43171700
43233200</t>
  </si>
  <si>
    <t>12 meses</t>
  </si>
  <si>
    <t>81112500
81111800</t>
  </si>
  <si>
    <t xml:space="preserve">ACTUALIZACION DE TABLAS DE RETENCION DOCUMENTAL, ELABORACION DEL PROGRAMA ESPECIFICO PARA LA GESTION DE DOCUMENTOS ELECTRONICOS DE ARCHIVO </t>
  </si>
  <si>
    <t>81112000
80161506
80101604</t>
  </si>
  <si>
    <t>11meses</t>
  </si>
  <si>
    <t xml:space="preserve">SOPORTE Y MANTENIMINENTO INFRAESTRUCTURA DE SEGURIDAD INFORMATICA </t>
  </si>
  <si>
    <t>6 meses</t>
  </si>
  <si>
    <t>81112200
81111800</t>
  </si>
  <si>
    <t xml:space="preserve">MANTENIMIENTO CORRECTIVO Y PREVENTIVO A TODO COSTO DE LOS COMPUTADORES Y ELEMENTOS DE HARDWARE QUE COMPONEN LA INFRAESTRUCTURA TECNOLOGICA y  RED DE DATOS CON EQUIPOS ACTIVOS Y CENTROS DE CABLEADO  </t>
  </si>
  <si>
    <t>81112300
81111800
81101700</t>
  </si>
  <si>
    <t>5 meses</t>
  </si>
  <si>
    <t>14111500
44103100
44121500
44121600
44121700
44121800
44121900
44122000
44122100</t>
  </si>
  <si>
    <t>SOPORTE Y MANTENIMIENTO DE SISTEMA DIGITURNO</t>
  </si>
  <si>
    <t>SOPORTE Y MANTENIMIENTO DE SISTEMA CALL CENTER</t>
  </si>
  <si>
    <t>72101500
72154000
72151500
81101600
81101700</t>
  </si>
  <si>
    <t>72151500
72151800
73152100</t>
  </si>
  <si>
    <t>LICITACION PUBLICA</t>
  </si>
  <si>
    <t>MINIMA CUANTIA</t>
  </si>
  <si>
    <t>MENOR CUANTIA</t>
  </si>
  <si>
    <t>MANTENIMIENTO PREVENTIVO Y CORRECTIVO A TODO COSTO DE LOS ASCENSORES DE LOS DIFERENTES EDIFICIOS DE VIVIENDAS FISCALES Y SEDE ADMINISTRATIVA EN BOGOTÁ (Presupuesto comprometido con vigencias fururas desde 2019)</t>
  </si>
  <si>
    <t>MANTENIMIENTO PREVENTIVO Y CORRECTIVO A TODO COSTO DE LOS ASCENSORES DE LOS DIFERENTES EDIFICIOS DE VIVIENDAS FISCALES Y SEDE ADMINISTRATIVA EN BOGOTÁ (Para tramitar vigencias futuras del 2021)</t>
  </si>
  <si>
    <t>SI</t>
  </si>
  <si>
    <t>10151900
10161600
10171500
10171700</t>
  </si>
  <si>
    <t>11 meses</t>
  </si>
  <si>
    <t>30171600
30171700
75153000</t>
  </si>
  <si>
    <t>8 meses</t>
  </si>
  <si>
    <t>30191500
30191600</t>
  </si>
  <si>
    <t>46161500
55121700</t>
  </si>
  <si>
    <t>SUMINISTRO DE ELEMENTOS DE SEÑALIZACION METALICA PARA ZONAS COMUNES DE LOS CONJUNTOS RESIDENCIALES DEL ICFE EN BOGOTÁ</t>
  </si>
  <si>
    <t>ADQUISICIÓN DE ESCALERAS TIPO TIJERA Y  DE EXTENSIÓN  PARA EL ICFE</t>
  </si>
  <si>
    <t>2 meses</t>
  </si>
  <si>
    <t>3 meses</t>
  </si>
  <si>
    <t>23101500
27112000
27112700</t>
  </si>
  <si>
    <t>VANTI</t>
  </si>
  <si>
    <t>11111600
11111700
12164900
26121500
26121600
30103600
30111500
30111600
30151500
30151800
30161500
30181600
31161500
31162400
31162800
31211500
39101600
39121700
39122200
40141700</t>
  </si>
  <si>
    <t>SUBASTA INVERSA</t>
  </si>
  <si>
    <t>4 meses</t>
  </si>
  <si>
    <t>CONTRATACION DIRECTA</t>
  </si>
  <si>
    <t>PRESTACION DE SERVICIOS TÉCNICOS DE ORNAMENTACIÓN</t>
  </si>
  <si>
    <t>ORDEN DE COMPRA</t>
  </si>
  <si>
    <t>72101500
72151500
72154000
81141500</t>
  </si>
  <si>
    <t>6  meses</t>
  </si>
  <si>
    <t>72101500
72111100
72141500</t>
  </si>
  <si>
    <t>Interventoria mantenimiento edificio Liborio Mejia- Conjunto Libertadores</t>
  </si>
  <si>
    <t>Interventoria mantenimiento edificio Cazadores- Conjunto Santa Ana</t>
  </si>
  <si>
    <t>Interventoria mantenimiento edificio Ricaurte- Conjunto Artilleria</t>
  </si>
  <si>
    <t>Interventoria mantenimiento  edificio Chaira- Florencia, Caqueta</t>
  </si>
  <si>
    <t>Interventoria mantenimiento edificio Calarca- Ibague, Tolima</t>
  </si>
  <si>
    <t>Estudios preliminares y diseños</t>
  </si>
  <si>
    <t>NO</t>
  </si>
  <si>
    <t>Pasajes terrestres y aereos para visitas a los mantenimientos</t>
  </si>
  <si>
    <t xml:space="preserve">Gastos de alojamiento para personal </t>
  </si>
  <si>
    <t xml:space="preserve">Gastos de alimentacion para personal </t>
  </si>
  <si>
    <t>Caja Menor</t>
  </si>
  <si>
    <t>CAJA MENOR</t>
  </si>
  <si>
    <t>Construccion obra edificio Buenavista - Guajira</t>
  </si>
  <si>
    <t>16 meses</t>
  </si>
  <si>
    <t>Interventoria Construccion edificio Buenavista - Guajira</t>
  </si>
  <si>
    <t>GRUPO PROYECTOS DE INVERSION</t>
  </si>
  <si>
    <t xml:space="preserve">SUBASTA INVERSA </t>
  </si>
  <si>
    <t>14121500 
14111500
14111700</t>
  </si>
  <si>
    <t>9 meses</t>
  </si>
  <si>
    <t>47131800 
47131500
47121700 
47131600 
47121800 
46181500 
14111700</t>
  </si>
  <si>
    <t>SUMINISTRO DE PRODUCTOS DE ASEO Y DE CAFETERÍA PARA EL ICFE (9 de 9)</t>
  </si>
  <si>
    <t>SUMINISTRO DE PRODUCTOS DE ASEO Y DE CAFETERÍA PARA EL ICFE (8 de 9)</t>
  </si>
  <si>
    <t>SUMINISTRO DE PRODUCTOS DE ASEO Y DE CAFETERÍA PARA EL ICFE (7 de 9)</t>
  </si>
  <si>
    <t>SUMINISTRO DE PRODUCTOS DE ASEO Y DE CAFETERÍA PARA EL ICFE (6 de 9)</t>
  </si>
  <si>
    <t>SUMINISTRO DE PRODUCTOS DE ASEO Y DE CAFETERÍA PARA EL ICFE (5 de 9)</t>
  </si>
  <si>
    <t>SUMINISTRO DE PRODUCTOS DE ASEO Y DE CAFETERÍA PARA EL ICFE (4 de 9)</t>
  </si>
  <si>
    <t>SUMINISTRO DE PRODUCTOS DE ASEO Y DE CAFETERÍA PARA EL ICFE  (3 de 9)</t>
  </si>
  <si>
    <t>SUMINISTRO DE PRODUCTOS DE ASEO Y DE CAFETERÍA PARA EL ICFE (2 de 9)</t>
  </si>
  <si>
    <t>SUMINISTRO DE PRODUCTOS DE ASEO Y DE CAFETERÍA PARA EL ICFE (1 de 9)</t>
  </si>
  <si>
    <t>SUMINISTRO Y RECARGA DE EXTINTORES PARA LOS CONJUNTOS RESIDENCIALES DEL ICFE</t>
  </si>
  <si>
    <t>PRESTACIÓN DE SERVICIOS</t>
  </si>
  <si>
    <t>N/A</t>
  </si>
  <si>
    <t>CONCURSO DE MERITOS</t>
  </si>
  <si>
    <t>47131500
47131600
47131700
47131800</t>
  </si>
  <si>
    <t>53131600
73101600</t>
  </si>
  <si>
    <t>24102000
24102100</t>
  </si>
  <si>
    <t>ADQUISICIÓN E INSTALACIÓN DE ELEMENTOS DE ESTANTERÍA PARA EL ALMACEN</t>
  </si>
  <si>
    <t>11 MESES</t>
  </si>
  <si>
    <t>ACUERDO MACRO</t>
  </si>
  <si>
    <t>78111800
78111500
90101500
90111500</t>
  </si>
  <si>
    <t>ACUERDO MARCO</t>
  </si>
  <si>
    <t xml:space="preserve">78181500 26101300
25172000
25173900 
25171700 
26111800   
25173800
40161500   
26112000  
25174000 
25172800  
25171500  
25172400 
26101300
 25172300 
25174800 
31181700  
25172100  
25174200  </t>
  </si>
  <si>
    <t xml:space="preserve">NO </t>
  </si>
  <si>
    <t>MANTENIMIENTO Y CALIBRACION DE INSTRUMENTOS DE MEDICION AMBIENTAL</t>
  </si>
  <si>
    <t>SERVICIOS INMOBILIARIOS</t>
  </si>
  <si>
    <t>SERVICIOS INMOBILIARIOS A COMISIÓN O POR CONTRATO</t>
  </si>
  <si>
    <t>SERVICIOS DE ADMINISTRACIÓN DE BIENES INMUEBLES A COMISIÓN O POR CONTRATO</t>
  </si>
  <si>
    <t>ADMINISTRACIONES DE CONJUNTOS RESIDENCIALES</t>
  </si>
  <si>
    <t>24 meses</t>
  </si>
  <si>
    <t>CONTRIBUCION DE VALORIZACION MUNICIPAL</t>
  </si>
  <si>
    <t>VALORIZACION</t>
  </si>
  <si>
    <t>SUMINISTRO DE ELEMENTOS DE PAPELERÍA, ÚTILES DE ESCRITORIO Y OFICINA (INCLUYE ELEMENTO DE ARCHIVO), PARA LAS SECCIONALES A NIVEL NACIONAL</t>
  </si>
  <si>
    <t>PRESTACION DE SERVICIOS TÉCNICOS DE CARPINTERÍA</t>
  </si>
  <si>
    <t>VALOR VIGENCIA 2020</t>
  </si>
  <si>
    <t>entrega de estudios tecnicos a contratos</t>
  </si>
  <si>
    <t xml:space="preserve">5 meses </t>
  </si>
  <si>
    <t>ESTUDIO Y ELABORACIÓN DEL CALCULO ACTUARIAL</t>
  </si>
  <si>
    <t>SUBASTA INVERSA 
ACUERDO MARCO</t>
  </si>
  <si>
    <t>2 mes</t>
  </si>
  <si>
    <t>07 meses</t>
  </si>
  <si>
    <t>Estudio de suelos</t>
  </si>
  <si>
    <t>Mantenimiento edificio Liborio Mejia- Conjunto Libertadores (34 de 60 Aptos)</t>
  </si>
  <si>
    <t>Mantenimiento edificio Cazadores- Conjunto Santa Ana (21 de 35 Aptos)</t>
  </si>
  <si>
    <t>Mantenimiento edificio Ricaurte- Conjunto Artilleria (6 de 10 Aptos)</t>
  </si>
  <si>
    <t>Mantenimiento edificio Chaira- Florencia, Caqueta (20 Aptos)</t>
  </si>
  <si>
    <t>Mantenimiento edificio Calarca- Ibague, Tolima (20 Aptos)</t>
  </si>
  <si>
    <t>Mantenimiento apartamentos edificio Los Guanes - Bucaramanga, Santander (2 Aptos)</t>
  </si>
  <si>
    <t>PRESTACIÓN DE SERVICIOS PROFESIONALES DE UN ABOGADO (A) EN APOYO A PROCESOS DE CONTRATACION, DEMANADAS JUDICIALES, PROCESOS DE USUARIOS, APOYO  DISCIPLINARIOS Y DERECHOS DE PETICION.</t>
  </si>
  <si>
    <t xml:space="preserve">ADQUISICIÓN DE BIENES Y SERVICIOS </t>
  </si>
  <si>
    <t xml:space="preserve">SERVICIOS DE SEGUROS SOCIALES DE SALUD Y RIESGOS LABORALES </t>
  </si>
  <si>
    <t xml:space="preserve">PAGO ARL PARA PRESTADORES DE SERVICIOS RIESGO 5: TECNICOS, PINTORES Y OFICIALES DE CONSTRUCCION </t>
  </si>
  <si>
    <t>Interventoria modernizacion, ajuste a la norma y certificcion de los ascensores de las viviendas fiscales</t>
  </si>
  <si>
    <t>CDP</t>
  </si>
  <si>
    <t>FECHA CDP</t>
  </si>
  <si>
    <t>VALOR INICIAL CDP</t>
  </si>
  <si>
    <t>VALOR ACTUAL CDP</t>
  </si>
  <si>
    <t>VALOR TOTAL CONTRATADO - CRP (COMPROMISO)</t>
  </si>
  <si>
    <t xml:space="preserve"> PRESUPUESTO SIN COMPROMETER 
(SIN CDP)</t>
  </si>
  <si>
    <t>VALOR DEL CDP A LIBERAR DESPUES DEL CONTRATO</t>
  </si>
  <si>
    <t>PRESTACIÓN DE SERVICIOS TECNICOS EN APOYO A LA GESTIÓN PARA EL MANTENIMIENTO DEL SISTEMA INTEGRADO DE GESTION CONFORME AL SISTEMA DE GESTION DE CALIDAD, EN RELACION CON MIPG.</t>
  </si>
  <si>
    <t xml:space="preserve"> PRESUPUESTO DISPONIBLE
(DESPUES DEL CONTRATO Y LIBERADO EL CDP) </t>
  </si>
  <si>
    <t>1220-2220</t>
  </si>
  <si>
    <t>3/01/2020              08/01/2020</t>
  </si>
  <si>
    <t>17/01/2020 22/01/2020 24/01/2020 30/01/2020</t>
  </si>
  <si>
    <t>2620-2720-2820</t>
  </si>
  <si>
    <t>ADQUISICIÓN DE MAQUINARIA Y HERRAMIENTA PARA EL ICFE</t>
  </si>
  <si>
    <t xml:space="preserve"> </t>
  </si>
  <si>
    <t xml:space="preserve">MANTENIMIENTO PREVENTIVO Y CORRECTIVO A TODO COSTO DE LOS CUARTOS DE MAQUINAS Y LAS MOTOBOMBAS DE LAS VIVIENDAS FISCALES A NIVEL NACIONAL </t>
  </si>
  <si>
    <t>10920 -12320 -16320-21420-309</t>
  </si>
  <si>
    <t>4/02/2020
10/02/2020
26/02/2020
26/03/2020
27/05/2020</t>
  </si>
  <si>
    <t>10920-12320-16320-21420-26020-30920</t>
  </si>
  <si>
    <t>3103-2020</t>
  </si>
  <si>
    <t>10920-12320-16320-21420-26020</t>
  </si>
  <si>
    <t>04/2/2020
10/02/2020
26/02/2020
23/03/2020
27/04/2020</t>
  </si>
  <si>
    <t>10920-12320-16320-21420+30920</t>
  </si>
  <si>
    <t>04/02/2020
10/02/2020
26/02/2020
26/03/2020
27/05/2020</t>
  </si>
  <si>
    <t>4320-4420-9320-9520-9820-11120-11220-11520-14020-14320-15220-15620-17020-18320-18420-21720-22420-22620-23820-24120-24420-25820-26420-27120-27820-28920-29520-29920-30020-30220-30620-30720-32020</t>
  </si>
  <si>
    <t>4220-4620-4720-5320-5520-6720-7220-7320-7520-8320-9420-9620-9720-10020-10320-11020-11320-11620-11720-12220-12720-13620-13720-13920-14220-15120-15420-16020-17120-17320-18820-19520-19820-20220-20520-20720-22220-22720-23420-23520-23720-24220-24520-24720-25320-25920-26520-26620-26820-27220-27920-28120-28220-28520-29020-29220-29620-29720-29820-30520-31120-31220-31620-32120</t>
  </si>
  <si>
    <t>6620-15020-22120</t>
  </si>
  <si>
    <t>21/01/2020
25/02/2020
01/04/2020</t>
  </si>
  <si>
    <t>4/02/2020
10/02/2020
26/02/2020
26/03/2020
27/04/2020</t>
  </si>
  <si>
    <t>4920-5020-5220-5420-5620-8120-8420-9020-9220-9920-10420-11320-11420-13720-14120-14220-15320-15520-15720-17220-17420-18520-18720-18820-19920-20420-21220-21320-22220-22320-22820-22920-23320-23620-24320-25720-26720-27020-27520-28020-28220-28320-28620-28720-28820-30120-30320-30420-31020-31220-31920</t>
  </si>
  <si>
    <t>4020-19220</t>
  </si>
  <si>
    <t>14/01/2020
09/03/2020</t>
  </si>
  <si>
    <t>5120-12820-12920-19720-27620-27720</t>
  </si>
  <si>
    <t>17/01/2020
11/02/2020
17/03/2020
13/05/2020</t>
  </si>
  <si>
    <t>7820-16520-16620</t>
  </si>
  <si>
    <t>22/01/2020
27/02/2020
27/02/2020</t>
  </si>
  <si>
    <t>4220-4320-4420-4520-4920-5420-5520-5620-6720-6920-7020-7120-7220-7320-7420-7520-8120-8220-8320-8420-9220-9420-9520-9620-9720-9820-9920-10020-10220-10420-11020-11120-11420-11520-11720-12120-12220-12720-13620-13720-13920-14020-14120-14220-14320-15220-15420-15520-15620-15720-16020-17020-17120-17220-17320-17420-18020-18120-18220-18320-18620-18720-19520-19820-19920-20220-20320-20420-20520-20620-20720-21220-22220-22620-22720-22820-22920-23320-23420-23520-23620-23720-23820-24120-24220-24320-24420-24520-24620-24720-25320-25420-25520-25620-25720-25820-25920-26420-26520-26620-26720-26820-26920-27020-27220-27520-27920-28220-28320-28420-28720-28820-29020-29520-29720-29820-29920-30020-30420-30520-30720-31020-31120-31920-32120</t>
  </si>
  <si>
    <t>7620-7720-11920-12020-13020-13120-13220-13820-14520-16820-16920-17520-17620-17720-18920-19020-19120-19420</t>
  </si>
  <si>
    <t>22/01/2020
07/02/2020
11/02/2020
18/02/2020
21/02/2020
27/02/2020
03/03/2020
04/03/2020
09/03/2020
10/03/2020</t>
  </si>
  <si>
    <t>4820-20020-20120-29120</t>
  </si>
  <si>
    <t>16/01/2020
17/03/2020
21/05/2020</t>
  </si>
  <si>
    <t xml:space="preserve"> PRESUPUESTO DISPONIBLE
(DESPUES DEL CONTRATO SIN LIBERADO EL CDP)</t>
  </si>
  <si>
    <t xml:space="preserve">SERVICIOS DE INVESTIGACIÓN Y SEGURIDAD </t>
  </si>
  <si>
    <t>OTROS PRODUCTOS PLÁSTICOS</t>
  </si>
  <si>
    <t>PLAN ANUAL DE ADQUISICIONES VIGENCIA 2021 - ICFE</t>
  </si>
  <si>
    <t>Mes publicación de borradores en el SECOP II</t>
  </si>
  <si>
    <t>Fecha estimada entrega de soportes a Contratos</t>
  </si>
  <si>
    <t>¿Se requieren vigencias futuras del 2023?</t>
  </si>
  <si>
    <t>VALOR VIGENCIA 2022</t>
  </si>
  <si>
    <t>Valor total incluido vigencias futuras 2022+2023</t>
  </si>
  <si>
    <t>ADQUISICIÓN DE ESTANTERIA METALICA PARA ARCHIVOS DE GESTIÓN SECCIONALES</t>
  </si>
  <si>
    <t>MARZO</t>
  </si>
  <si>
    <t>1 MES</t>
  </si>
  <si>
    <t>ELABORACIÓN DEL PLAN INSTITUCIONAL DE ARCHIVOS - PINAR Y PROGRAMA DE GESTIÓN DOCUMENTAL - PGD DEL INSTITUTO DE CASAS FISCALES DEL EJÉRCITO</t>
  </si>
  <si>
    <t>FEBRERO</t>
  </si>
  <si>
    <t>5 MESES</t>
  </si>
  <si>
    <t>ENERO</t>
  </si>
  <si>
    <t xml:space="preserve">CONTRATACIÓN DIRECTA </t>
  </si>
  <si>
    <t>GESTIÓN DOCUMENTAL</t>
  </si>
  <si>
    <t xml:space="preserve">GESTIÓN DOCUMENTAL </t>
  </si>
  <si>
    <t>Construccion edificio Buenavista - Guajira</t>
  </si>
  <si>
    <t>Construccion edificios en Nilo - Cundinamarca</t>
  </si>
  <si>
    <t>Interventoria Construccion edificios en Nilo - Cundinamarca</t>
  </si>
  <si>
    <t>Construccion edificios en Larandia - Caquetá</t>
  </si>
  <si>
    <t>Interventoria Construccion edificios en Larandia - Caquetá</t>
  </si>
  <si>
    <t xml:space="preserve">Construcción edificios en San José del Guaviare - Guaviare </t>
  </si>
  <si>
    <t>Interventoría Construcción edificios en San José del Guaviare - Guaviare</t>
  </si>
  <si>
    <t>Pasajes terrestres o aereos para viajes a las seccionales de las construcciones</t>
  </si>
  <si>
    <t>Enero</t>
  </si>
  <si>
    <t>AYUDANTIA SUBDIRECCIÓN ADMINISTRATIVA</t>
  </si>
  <si>
    <t>Febrero</t>
  </si>
  <si>
    <t>Mantenimiento edificio Cumaribo-Seccional Villavicencio-Meta</t>
  </si>
  <si>
    <t>Licitación Pública</t>
  </si>
  <si>
    <t>Interventoría Mantenimiento edificio Cumaribo-Seccional Villavicencio-Meta</t>
  </si>
  <si>
    <t>Mantenimiento edificio Maldonado - Cantón de Artillería-Bogotá</t>
  </si>
  <si>
    <t>Interventoría Mantenimiento edificio Maldonado - Cantón de Artillería-Bogotá</t>
  </si>
  <si>
    <t>Mantenimiento edificio Jaime Rooke Conjunto Residencial Los Libertadores - Bogotá</t>
  </si>
  <si>
    <t>Interventoría Mantenimiento edificio Jaime Rooke Conjunto Residencial Los Libertadores - Bogotá</t>
  </si>
  <si>
    <t>Pasajes terrestres o aereos para viajes a las seccionales de los mantenimientos</t>
  </si>
  <si>
    <t>PRESTAR CON PLENA AUTONOMIA LOS SERVICIOS PROFESIONALES ECONOMICOS Y FINANCIEROS AL AREA DE ADQUISICIÓN DE BIENES Y SERVICIOS ICFE, EN LA ELABORACIÓN DE ESTUDIOS ECONOMICOS, DEL SECTOR Y DE MERCADO PARA EL DESARROLLO DE LOS PROCESOS DE CONTRATACIÓN PÚBLICA Y CONVENIOS EN GENERAL, EN SUS ETAPAS PRECONTRACTUAL, CONTRACTUAL Y POS CONTRACTUAL</t>
  </si>
  <si>
    <t xml:space="preserve">GRUPO DE ADQUISIONES Y SUMINISTROS </t>
  </si>
  <si>
    <t>23101500
23241500
23271400
27111500
27112700</t>
  </si>
  <si>
    <t xml:space="preserve">ADQUISICION DE  MAQUINARIA  PARA EL INSTITUTO DE CASAS FISCALES DEL EJÉRCITO </t>
  </si>
  <si>
    <t>03 Meses</t>
  </si>
  <si>
    <t>14111500
14111800
30201500
43201800
44101700
44103100
44121600
44121700
44121800
44121900
44122000
44122100</t>
  </si>
  <si>
    <t>08 Meses</t>
  </si>
  <si>
    <t xml:space="preserve">MANTENIMIENTO PREVENTIVO Y CORRECTIVO A TODO COSTO DE LAS PLANTAS ELECTRICAS UBICADAS EN LOS CONJUNTOS RESIDENCIALES Y SU SEDE ADMINISTRATIVA EN LA CIUDAD DE BOGOTÁ </t>
  </si>
  <si>
    <t>Abril</t>
  </si>
  <si>
    <t>SUMINISTRO DE PLANTAS EXTERIORES E INSUMOS PARA JARDÍN DE LOS CONJUNTOS RESIDENCIALES DE LA GUARNICIÓN BOGOTÁ</t>
  </si>
  <si>
    <t>MINIMA CUANTÍA</t>
  </si>
  <si>
    <t>SUMINISTRO E INSTALACIÓN DE VIDRIOS CRUDOS, TEMPLADOS Y CARPINTERÍA EN ALUMINIO  PARA EL MANTENIMIENTO  DE LAS VIVIENDAS FISCALES DEL ICFE</t>
  </si>
  <si>
    <t xml:space="preserve"> 8 meses</t>
  </si>
  <si>
    <t>MANTENIMIENTO PREVENTIVO Y CORRECTIVO A TODO COSTO DE LAS PLANTAS ELECTRICAS DE LAS VIVIENDAS FISCALES DE BOGOTÁ</t>
  </si>
  <si>
    <t>PRESTACION DE SERVICIOS TÉCNICOS DE INSTALACIONES DE GAS DOMICILIARIAS PARA LAS VIVIENDAS FISCALES DEL ICFE</t>
  </si>
  <si>
    <t xml:space="preserve">PRESTACION DE SERVICIOS PARA LA APLICACIÓN DE PINTURA EN ESTRUCTURAS DE ACUERDO AL TIPO DE ACABADO SOLICITADO EN LAS VIVIENDAS FISCALES DEL ICFE DE ACUERDO A LAS NECESIDADES.   </t>
  </si>
  <si>
    <t>PRESTACION DE SERVICIOS DE ACTIVIDADES DE MANTENIMIENTO  BÁSICO Y ACABADOS DE LAS VIVIENDAS FISCALES EN LA CIUDAD DE BOGOTA</t>
  </si>
  <si>
    <t>LAVADO Y DESINFECCIÓN DE TANQUES DE AGUA POTABLE DE LAS VIVIENDAS FISCALES A NIVEL NACIONAL</t>
  </si>
  <si>
    <t>SERVICIOS DE LIMPIEZA Y ASEO DE AREAS COMUNES DE VIVIENDAS FISCALES DE LAS SECCIONALES BOGOTA, , BUCARAMANGA, CALI, TOLEMAIDA Y VILLAVICENCIO</t>
  </si>
  <si>
    <t>SERVICIO DE MANTENIMIENTO CORRECTIVO Y PREVENTIVO A TODO COSTO DE MAQUINARIA Y HERRAMIENTAS DE LA SECCIÓN DE MANTENIMIENTO</t>
  </si>
  <si>
    <t>06 meses</t>
  </si>
  <si>
    <t xml:space="preserve">TALENTO HUMANO </t>
  </si>
  <si>
    <t>SUMINISTRO DE PRODUCTOS DE ASEO Y DE CAFETERÍA PARA EL ICFE (1 de 7)</t>
  </si>
  <si>
    <t>6 MESES</t>
  </si>
  <si>
    <t>SUMINISTRO DE PRODUCTOS DE ASEO Y DE CAFETERÍA PARA EL ICFE (2 de 7)</t>
  </si>
  <si>
    <t>SUMINISTRO DE PRODUCTOS DE ASEO Y DE CAFETERÍA PARA EL ICFE (3 de 7)</t>
  </si>
  <si>
    <t>SUMINISTRO DE PRODUCTOS DE ASEO Y DE CAFETERÍA PARA EL ICFE (4 de 7)</t>
  </si>
  <si>
    <t>53101900
53102700
53116000</t>
  </si>
  <si>
    <t>SUMINISTRO DE PRODUCTOS DE ASEO Y DE CAFETERÍA PARA EL ICFE (5 de 7)</t>
  </si>
  <si>
    <t>SUMINISTRO DE PRODUCTOS DE ASEO Y DE CAFETERÍA PARA EL ICFE (6 de 7)</t>
  </si>
  <si>
    <t>SUMINISTRO DE PRODUCTOS DE ASEO Y DE CAFETERÍA PARA EL ICFE (7 de 7)</t>
  </si>
  <si>
    <t>NOVIEMBRE</t>
  </si>
  <si>
    <t>86101700
86101800</t>
  </si>
  <si>
    <t>ABRIL</t>
  </si>
  <si>
    <t>7 MESES</t>
  </si>
  <si>
    <t>51102710
42131606
40141742</t>
  </si>
  <si>
    <t>PREVENCIÓN COVID (INCLUYE ALCOHOL, GEL, ATOMIZADORES Y TAPABOCAS</t>
  </si>
  <si>
    <t>10 MESES</t>
  </si>
  <si>
    <t xml:space="preserve">MAYO </t>
  </si>
  <si>
    <t xml:space="preserve">6 MESES </t>
  </si>
  <si>
    <t xml:space="preserve">SELECCIÓN ABREVIADA MENOR CUANTÍA </t>
  </si>
  <si>
    <t xml:space="preserve">GESTIÓN INTEGRAL </t>
  </si>
  <si>
    <t>46181500
46181600
46181700
46181800
46181900
46182000
53102700
53111500</t>
  </si>
  <si>
    <t xml:space="preserve">JUNIO </t>
  </si>
  <si>
    <t>3 MESES</t>
  </si>
  <si>
    <t>42172001
42311511
42311505
42181501
42182206
42311518
44121618
42311520
42132201
42312313
51102702
42131606</t>
  </si>
  <si>
    <t xml:space="preserve">2 MESES </t>
  </si>
  <si>
    <t xml:space="preserve">3 MESES </t>
  </si>
  <si>
    <t>46181500
46181600
46181700
46181800
46181900
46182000
53102700
53111500
55121700
82101500
55121600
55121500</t>
  </si>
  <si>
    <t>SEÑALIZACIÓN (SEÑALIZACION, ETIQUETAS Y PLANOS) CASAS FISCALES</t>
  </si>
  <si>
    <t xml:space="preserve">7 MESES </t>
  </si>
  <si>
    <t xml:space="preserve">SELECCIÓN ABREVIADA MENOR CUANTIA </t>
  </si>
  <si>
    <t>46191600 
4112400
30162300
46171600
46191500</t>
  </si>
  <si>
    <t xml:space="preserve">GABINETES CONTRA INCENDIO (CASAS FISCALES) </t>
  </si>
  <si>
    <t>85101500
85111508
85111514
85111512
85121800
85101600
85101503
85122200
85122201
85111510
85121801
85121701</t>
  </si>
  <si>
    <t xml:space="preserve">EXAMENES MÉDICOS, VACUNACIÓN Y LABORATORIOS </t>
  </si>
  <si>
    <t>8 MESES</t>
  </si>
  <si>
    <t>78101800
78141500
77111600 
76121500
76121600
76122000
25101600
22101700</t>
  </si>
  <si>
    <t xml:space="preserve">FEBRERO </t>
  </si>
  <si>
    <t xml:space="preserve">8 MESES </t>
  </si>
  <si>
    <t xml:space="preserve">MÍNIMA CUANTÍA.  </t>
  </si>
  <si>
    <t xml:space="preserve">11 MESES </t>
  </si>
  <si>
    <t>PRESTACIÓN DE SERVICIOS PROFESIONALES APLICACIÓN BATERIA RIESGO PSICOSOCIAL FUCIONARIOS ICFE</t>
  </si>
  <si>
    <t>46191500
46191600
72101500</t>
  </si>
  <si>
    <t xml:space="preserve">SUMINISTRO Y RECARGA DE EXTINTORES A NIVEL NACIONAL </t>
  </si>
  <si>
    <t xml:space="preserve">IMPUESTO PREDIAL </t>
  </si>
  <si>
    <t>CONTROL INTERNO</t>
  </si>
  <si>
    <t>APOYO Y ASESORÍA EN EL TRÁMITE DE DEBIDOS PROCESOS ADMINISTRATIVOS SANCIONATORIOS DE USUARIOS DE VIVIENDA FISCAL Y EN RESPUESTA A SOLICITUDES Y DERECHOS DE PETICIÓN DE LA ADMINISTRACIÓN DE VIVIENDAS.</t>
  </si>
  <si>
    <t>ADQUISICIÓN DE EQUIPO  SCANNER DE GRAN FORMATO</t>
  </si>
  <si>
    <t>6meses</t>
  </si>
  <si>
    <t>ADQUISICIÓN DE EQUIPO UTM FIREWALL (REMPLAZO POR OBSOLESCENCIA TECNOLOGICA DEL ACTUAL EQUIPO)</t>
  </si>
  <si>
    <t>ADQUISICIÓN DE LICENCIAS MICROSOFT OFFICE (16 unidades)</t>
  </si>
  <si>
    <t>SERVICIO DE ACTUALIZACIÓN DE LA PLATAFORMA DEL SERVICIO  ERP SAP</t>
  </si>
  <si>
    <t>12meses</t>
  </si>
  <si>
    <t>BOLSA DE REPUESTOS PARA EL MANTENIMIENTO CORRECTIVO Y PREVENTIVO A TODO COSTO DE LOS COMPUTADORES Y ELEMENTOS DE HARDWARE QUE COMPONEN LA INFRAESTRUCTURA TECNOLÓGICA Y RED DE DATOS CON EQUIPOS ACTIVOS Y CENTROS DE CABLEADO.</t>
  </si>
  <si>
    <t>SERVICIO DE MANTENIMIENTO DE CIRCUITOS CERRADOS DE TV PARA LAS AREAS COMUNES DE LAS VIVIENDAS FISCALES EN BOGOTA</t>
  </si>
  <si>
    <t>SUMINISTRO DE GRASAS Y LUBRICANTES PARA LOS VEHICULOS DE PROPIEDAD DEL INSTITUTO DE CASAS FISCALES DEL EJÉRCITO</t>
  </si>
  <si>
    <t xml:space="preserve">TRANSPORTES </t>
  </si>
  <si>
    <t>SUMINISTRO DE COMBUSTIBLE PARA LOS VEHÍCULOS PROPIEDAD DEL INSTITUTO DE CASAS FISCALES DEL EJÉRCITO</t>
  </si>
  <si>
    <t>ADQUISICION DE LLANTAS PARA LOS VEHÍCULOS DE PROPIEDAD DEL INSTITUTO DE CASAS FISCALES DEL EJÉRCITO</t>
  </si>
  <si>
    <t>JUNIO</t>
  </si>
  <si>
    <t>02 MESES</t>
  </si>
  <si>
    <t>AYUDANTIA SUBDIRECCION</t>
  </si>
  <si>
    <t>SERVICIOS DE SEGURO OBLIGATORIO DE ACCIDENTES DE TRÁNSITO (SOAT) PARA LOS VEHICULOS DEL ICFE</t>
  </si>
  <si>
    <t>12 MESES</t>
  </si>
  <si>
    <t>IMPUESTO SOBRE VEHÍCULOS AUTOMOTORES DEL ICFE</t>
  </si>
  <si>
    <t>2/01/202</t>
  </si>
  <si>
    <t>JULIO</t>
  </si>
  <si>
    <t>OCTUBRE</t>
  </si>
  <si>
    <t>SEPTIEMBRE</t>
  </si>
  <si>
    <t xml:space="preserve">ENERO </t>
  </si>
  <si>
    <t>2 MESES</t>
  </si>
  <si>
    <t>AGOSTO</t>
  </si>
  <si>
    <t>84131500
84131700</t>
  </si>
  <si>
    <t>12 Meses</t>
  </si>
  <si>
    <t xml:space="preserve">CONTRATACION DIRECTA </t>
  </si>
  <si>
    <t>72101500
81141800</t>
  </si>
  <si>
    <t>INSPECCIÓN TÉCNICA Y CERTIFICACIÓN A SISTEMAS DE TRANSPORTE VERTICAL (ASCENSORES) DE LOS INMUEBLES DEL ICFE</t>
  </si>
  <si>
    <t>febrero</t>
  </si>
  <si>
    <t>SUMINISTRO DE ELEMENTOS DE FERRETERÍA Y OTROS MATERIALES PARA EL MANTENIMIENTO DE LAS VIVIENDAS FISCALES Y SUS ÁREAS COMUNES  EN LAS SECCIONALES A NIVEL NACIONAL</t>
  </si>
  <si>
    <t>ADQUISICIÓN  SOFTWARE DE NOMINA</t>
  </si>
  <si>
    <t>CANAL DEDICADO A INTERNET (SERVICIO DE CONECTIVIDAD A INTERNET Y ENLACE DEDICADO DE DATOS) (Para tramitar vigencias futuras del 2022)</t>
  </si>
  <si>
    <t>CANAL DEDICADO A INTERNET (SERVICIO DE CONECTIVIDAD A INTERNET Y ENLACE DEDICADO DE DATOS) 2021</t>
  </si>
  <si>
    <t xml:space="preserve">MANTENIMIENTO
</t>
  </si>
  <si>
    <t xml:space="preserve">PRESTACIÓN DE SERVICIOS TECNOLOGICOS DE APOYO A LA GESTIÓN PARA REALIZAR  LA " IMPLEMENTACIÓN DEL SISTEMA DE SEGURIDAD Y SALUD EN EL TRABAJO E INTEGRACIÓN CON OTROS SISTEMAS DE GESTIÓN A NIVEL INTERNO Y LA SUPERVISIÓN A CONTRATISTAS POR PARTE DEL ICFE. </t>
  </si>
  <si>
    <t>RECIPIENTES PARA LA DISPOSICIÓN DE RESIDUOS SÓLIDOS A NIVEL NACIONAL</t>
  </si>
  <si>
    <t>MANTENIMIENTO PREVENTIVO Y CORRECTIVO A TODO COSTO DE LOS ASCENSORES DE LOS DIFERENTES EDIFICIOS DE VIVIENDAS FISCALES Y SEDE ADMINISTRATIVA EN BOGOTÁ (Para tramitar vigencias futuras del 2022-2023)</t>
  </si>
  <si>
    <t>MANTENIMIENTO PREVENTIVO Y CORRECTIVO A TODO COSTO DE LOS CUARTOS DE MAQUINAS Y LAS MOTOBOMBAS DE LAS SECCIONALES DEL INSTITUTO DE CASAS FISCALES DEL EJERCITO A NIVEL NACIONAL Y SU SEDE ADMINISTRATIVA EN LA CIUDAD DE BOGOTA (Para tramitar vigencias futuras del 2022-2023)</t>
  </si>
  <si>
    <t>MANTENIMIENTO PREVENTIVO Y CORRECTIVO A TODO COSTO DE LOS CUARTOS DE MAQUINAS Y LAS MOTOBOMBAS DE LAS SECCIONALES DEL INSTITUTO DE CASAS FISCALES DEL EJERCITO A NIVEL NACIONAL Y SU SEDE ADMINISTRATIVA EN LA CIUDAD DE BOGOTA (Presupuesto comprometido con vigencias fururas desde 2021-2022)</t>
  </si>
  <si>
    <t>SERVICIO DE MANTENIMIENTO CORRECTIVO Y PREVENTIVO A TODO COSTO DE SISTEMA HIDRONEUMATICO, CONTRA INCENDIO Y VENTILACIÓN MECANICA DEL EDIFICIO DE TALLERES DEL ICFE CIUDAD DE BOGOTÁ..</t>
  </si>
  <si>
    <t>SUMINISTRO DE ELEMENTOS DE FERRETERÍA Y OTROS MATERIALES PARA EL MANTENIMIENTO DE LAS VIVIENDAS FISCALES Y SUS ÁREAS COMUNES EN CIUDAD DE BOGOTÁ (Presupuesto comprometido con vigencias fururas desde 2021-2022)</t>
  </si>
  <si>
    <t>SUMINISTRO DE ELEMENTOS DE FERRETERÍA Y OTROS MATERIALES PARA EL MANTENIMIENTO DE LAS VIVIENDAS FISCALES Y SUS ÁREAS COMUNES EN CIUDAD DE BOGOTÁ (Para tramitar vigencias futuras del 2022-2023)</t>
  </si>
  <si>
    <t>MANTENIMIENTO PREVENTIVO Y CORRECTIVO A TODO COSTO DE LOS ASCENSORES DE LOS DIFERENTES EDIFICIOS DE VIVIENDAS FISCALES EN BOGOTÁ (Para tramitar vigencias futuras del 2022-2023)</t>
  </si>
  <si>
    <t>MANTENIMIENTO PREVENTIVO Y CORRECTIVO A TODO COSTO DE LOS CUARTOS DE MAQUINAS Y LAS MOTOBOMBAS DE LAS VIVIENDAS FISCALES A NIVEL NACIONAL (Presupuesto comprometido con vigencias fururas desde 2021-2022)</t>
  </si>
  <si>
    <t>MANTENIMIENTO PREVENTIVO Y CORRECTIVO A TODO COSTO DE LOS CUARTOS DE MAQUINAS Y LAS MOTOBOMBAS DE LAS VIVIENDAS FISCALES A NIVEL NACIONAL (Para tramitar vigencias futuras del 2022-2023)</t>
  </si>
  <si>
    <t xml:space="preserve">INSPECCIÓN TÉCNICA Y CERTIFICACIÓN A SISTEMAS DE TRANSPORTE VERTICAL (ASCENSORES) DE LOS INMUEBLES DEL ICFE </t>
  </si>
  <si>
    <t>SERVICIO DE VIGILANCIA Y SEGURIDAD PRIVADA SIN ARMAS PARA EL CONJUNTO RESIDENCIAL “HEROES DE COLOMBIA” EN LA CIUDAD DE BOGOTÁ (Presupuesto comprometido con vigencias fururas desde 2021-2022)</t>
  </si>
  <si>
    <t>SERVICIO DE VIGILANCIA Y SEGURIDAD PRIVADA SIN ARMAS PARA EL CONJUNTO RESIDENCIAL “HEROES DE COLOMBIA” EN LA CIUDAD DE BOGOTÁ (Para tramitar vigencias futuras del 2022-2023)</t>
  </si>
  <si>
    <t>SERVICIOS DE EXTERMINACIÓN DE ROEDORES Y CONTROL QUÍMICO DE VECTORES DE LOS CONJUNTOS RESIDENCIALES DE LA GUARNICIÓN BOGOTÁ Y NIVEL NACIONAL</t>
  </si>
  <si>
    <t>41112200
41112300</t>
  </si>
  <si>
    <t>ADQUISICIÓN DE ELEMENTOS DE CONTROL DE HUMEDAD Y TEMPERATURA PARA EL ARCHIVO CENTRAL DEL INSTITUTO DE CASA FISCALES DEL EJÉRCITO</t>
  </si>
  <si>
    <t xml:space="preserve">GESTIÓN  INTEGRAL </t>
  </si>
  <si>
    <t>en ejecución</t>
  </si>
  <si>
    <t>Estudios y diseños Edificio de Vivienda Fiscal de Diez (10) Pisos en Puente Aranda</t>
  </si>
  <si>
    <t>enero</t>
  </si>
  <si>
    <t>Mayo</t>
  </si>
  <si>
    <t>SERVICIOS DE CAPACITACIÓN PARA EL PERSONAL EMPLEADOS PÚBLICOS Y TRABAJADORES OFICIALES DEL ICFE</t>
  </si>
  <si>
    <t xml:space="preserve">DISPOSICIÓN DE RESIDUOS DE CONSRUCCIÓN Y DEMOLICIÓN GENERADOS DE LAS ACTIVIDADES DE MANTENIEMIENTO EN SITIOS AUTORIZADOS POR UNA ENTIDAD AMBIENTAL. </t>
  </si>
  <si>
    <t>Estudio de suelos y resistividad de terreno para la construcción de los edificios ICFE</t>
  </si>
  <si>
    <t>Estudios preliminares y diseños para la construcción de los edificios ICFE</t>
  </si>
  <si>
    <t>11 MESES, 13 DÍAS</t>
  </si>
  <si>
    <t>JURÍDICA</t>
  </si>
  <si>
    <t>PRESTACIÓN DE SERVICIOS PROFESIONALES DE UN ABOGADO CON PLENA AUTONOMÍA ADMINISTRATIVA  PARA APOYO EN EL TRÁMITE DE PROCESOS ADMINISTRATIVOS SANCIONATORIOS Y/O DE EJECUCIÓN DE PÓLIZAS EN EL ÁMBITO CONTRACTUAL, A LAS SOLICITUDES PRESENTADAS POR AUTORIDADES ADMINISTRATIVAS, REPRESENTACIÓN JUDICIAL Y OTRAS ACTIVIDADES ASIGNADAS</t>
  </si>
  <si>
    <t xml:space="preserve">ADQUISICIÓN Y SUMINISTRO DE ELEMENTOS PARA ATENCIÓN DE PRIMEROS AUXILIOS </t>
  </si>
  <si>
    <t>PRESTAR CON PLENA AUTONOMIA LOS SERVICIOS PROFESIONALES DE DERECHO AL GRUPO DE ADQUISICIÓN DE BIENES Y SERVICIOS ICFE, PARA EL DESARROLLO DE LOS PROCESOS DE CONTRATACIÓN PÚBLICA, ELABORACIÓN DE CONTRATOS PÚBLICOS Y CONVENIOS EN GENERAL, DURANTE SUS ETAPAS PRECONTRACTUAL, CONTRACTUAL Y POSCONTRACTUAL Y TODAS LAS DEMÁS ACTIVIDADES Y TRÁMITES NECESARIOS PARA SU CONSECUCIÓN DE CONFORMIDAD A LAS LEYES VIGENTES (RECIEN GRADUADO)</t>
  </si>
  <si>
    <t>PRESTAR CON PLENA AUTONOMIA LOS SERVICIOS PROFESIONALES DE SEGURIDAD INFORMATICA</t>
  </si>
  <si>
    <t>PRESTAR CON PLENA AUTONOMIA LOS SERVICIOS PROFESIONALES DE INGENIERÍA DESARROLLADOR  PARA EL GRUPO TIC´S</t>
  </si>
  <si>
    <t xml:space="preserve">PRESTAR CON PLENA AUTONOMIA LOS SERVICIOS PROFESIONALES DE  INGENIERO AUDITOR PARA EL APOYO EN EL DESARROLLO DE LAS AUDITORIAS DE LA ASESRIA DE CONTROL INTERNO DEL ICFE </t>
  </si>
  <si>
    <t xml:space="preserve"> PRESTAR CON PLENA AUTONOMIA LOS SERVICIOS PROFESIONALES ECONOMICOS Y FINANCIEROS AL AREA DE ADQUISICIÓN DE BIENES Y SERVICIOS ICFE, EN LA ELABORACIÓN DE ESTUDIOS ECONOMICOS, DEL SECTOR Y DE MERCADO PARA EL DESARROLLO DE LOS PROCESOS DE CONTRATACIÓN PÚBLICA Y CONVENIOS EN GENERAL, EN SUS ETAPAS PRECONTRACTUAL, CONTRACTUAL Y POS CONTRACTUAL(RECIEN GRADUADO)</t>
  </si>
  <si>
    <t xml:space="preserve">78181500 
26101300
25172000
25173900 
25171700 
26111800   
25173800
40161500   
26112000  
25174000 
25172800  
25171500  
25172400 
26101300
 25172300 
25174800 
31181700  
25172100  
25174200  </t>
  </si>
  <si>
    <t>SERVICIOS DE ENTRENAMIENTO Y CERTIFICACIÓN PARA TRABAJO SEGURO EN ALTURAS DEL ICFE</t>
  </si>
  <si>
    <t>MULTAS, SANCIONES E INTERESES DE MORA</t>
  </si>
  <si>
    <t>c</t>
  </si>
  <si>
    <t>Estudios preliminares y diseños proyectos de construccion ICFE</t>
  </si>
  <si>
    <t xml:space="preserve">COMPUTADORES DE ESCRITORIO (Cantidad 10) </t>
  </si>
  <si>
    <t>Marzo</t>
  </si>
  <si>
    <t>SELECCIÓN ABREVIADA MENOR CUANTIA</t>
  </si>
  <si>
    <t>ACUERDO MARCO DE PRECIOS</t>
  </si>
  <si>
    <t>SOPORTE Y MANTENIMIENTO INFRAESTRUCTURA DE SEGURIDAD INFORMATICA</t>
  </si>
  <si>
    <t>SOPORTE Y MANTENIMIENTO DE FABRICA FORTINET, KASPERKY Y SWITCH</t>
  </si>
  <si>
    <t>MANTENIMIENTO PREVENTIVO Y CORRECTIVO A TODO COSTO DE LOS ASCENSORES QUE SE ENCUENTRAN INSTALADOS EN LOS DIFERENTES EDIFICIOS DE CASAS FISCALES DEL EJERCITO Y SU SEDE ADMINISTRATIVA EN LA CIUDAD DE BOGOTÁ</t>
  </si>
  <si>
    <t>CONTRATACIÓN DIRECTA</t>
  </si>
  <si>
    <t xml:space="preserve">LICITACION PUBLICA </t>
  </si>
  <si>
    <t xml:space="preserve">MÍNIMA CUANTÍA  </t>
  </si>
  <si>
    <t xml:space="preserve">SERVICIOS PUBLICOS </t>
  </si>
  <si>
    <t xml:space="preserve">6 meses </t>
  </si>
  <si>
    <t>01/042022</t>
  </si>
  <si>
    <t>EN EJECUCIÓN</t>
  </si>
  <si>
    <t>MANTENIMIENTO PREVENTIVO Y CORRECTIVO A TODO COSTO DE LOS ASCENSORES DE LOS DIFERENTES EDIFICIOS DE VIVIENDAS FISCALES EN BOGOTÁ 2022</t>
  </si>
  <si>
    <t>MAYO</t>
  </si>
  <si>
    <t>SERVICIOS DE LIMPIEZA Y ASEO DE AREAS COMUNES DE VIVIENDAS FISCALES DE LAS SECCIONALES BOGOTA, , BUCARAMANGA, CALI, TOLEMAIDA Y VILLAVICENCIO (Para tramitar vigencias futuras del 2022-2023)</t>
  </si>
  <si>
    <t>86101700 
81141800</t>
  </si>
  <si>
    <t>PRESTAR CON PLENA AUTONOMIA LOS SERVICIOS PROFESIONALES PARA REALIZAR LA EVALUACIÓN Y SEGUIMIENTO DE LA GESTIÓN INSTITUCIONAL.</t>
  </si>
  <si>
    <t>4 MESES</t>
  </si>
  <si>
    <t xml:space="preserve">Junio </t>
  </si>
  <si>
    <t>ADQUISICIÓN DE LICENCIAS ADICIONALES DEL SGDEA CONTROLDOC Y DESARROLLO EVOLUTIVO DEL GESTOR DOCUMENTAL</t>
  </si>
  <si>
    <t xml:space="preserve">CONTRACION DIRECTA </t>
  </si>
  <si>
    <t>06 MESES</t>
  </si>
  <si>
    <t>Concurso de Méritos</t>
  </si>
  <si>
    <t>Licitación Pública,
cuenta con vigencias
futuras</t>
  </si>
  <si>
    <t>Contratación Directa,
cuenta con vigencias
futuras</t>
  </si>
  <si>
    <t>Concurso de méritos,
cuenta con vigencias
futuras</t>
  </si>
  <si>
    <t>Concurso de méritos</t>
  </si>
  <si>
    <t>Contratación Directa</t>
  </si>
  <si>
    <t xml:space="preserve">mayo </t>
  </si>
  <si>
    <t>Interventoría Mantenimiento de Viviendas Fiscales - Seccional Medellín Bajes - Antioquia</t>
  </si>
  <si>
    <t>Mantenimiento a todo costo de unas viviendas fiscales y sus áreas comunes en las seccionales a nivel nacional</t>
  </si>
  <si>
    <t>Mantenimiento de Viviendas Fiscales-Seccional Medellín Bajes - Antioquia</t>
  </si>
  <si>
    <t xml:space="preserve">Febrero </t>
  </si>
  <si>
    <t>Selección abreviada de
menor cuantía</t>
  </si>
  <si>
    <t>PRESTACION DE SERVICIOS DE ACTIVIDADES DE MANTENIMIENTO PREVENTIVO Y CORRECTIVO DE REDES ELECTRICAS DE LAS VIVIENDAS FISCALES EN LA CIUDAD DE BOGOTA</t>
  </si>
  <si>
    <t>PRESTACION DE SERVICIOS DE ACTIVIDADES DE MANTENIMIENTO BÁSICO Y ACABADOS DE LAS VIVIENDAS FISCALES DEL CONJUNTO ARTILLERIA EN LA CIUDAD DE BOGOTA</t>
  </si>
  <si>
    <t>PRESTACION DE SERVICIOS DE ACTIVIDADES DE MANTENIMIENTO PREVENTIVO Y CORRECTIVO DE CARPINTERIA Y PINTURA EN MADERA DE LAS VIVIENDAS FISCALES EN LA CIUDAD DE BOGOTA</t>
  </si>
  <si>
    <t xml:space="preserve">11 meses </t>
  </si>
  <si>
    <t>marzo</t>
  </si>
  <si>
    <t>APOYO TÉCNICO PARA REALIZAR ACTIVIDADES DE CONTABILIDAD PARA EL CIERRE DE LA VIGENCIA FISCAL</t>
  </si>
  <si>
    <t xml:space="preserve">MENOR CUANTIA </t>
  </si>
  <si>
    <t>3822</t>
  </si>
  <si>
    <t>4122</t>
  </si>
  <si>
    <t>4622</t>
  </si>
  <si>
    <t>4822</t>
  </si>
  <si>
    <t>4922</t>
  </si>
  <si>
    <t>5422</t>
  </si>
  <si>
    <t>5622</t>
  </si>
  <si>
    <t>5922</t>
  </si>
  <si>
    <t>6122</t>
  </si>
  <si>
    <t>6422</t>
  </si>
  <si>
    <t>6622</t>
  </si>
  <si>
    <t>6722</t>
  </si>
  <si>
    <t>8122</t>
  </si>
  <si>
    <t>8422</t>
  </si>
  <si>
    <t>8922</t>
  </si>
  <si>
    <t>9222</t>
  </si>
  <si>
    <t>9722</t>
  </si>
  <si>
    <t>ver hoja 2</t>
  </si>
  <si>
    <t>3922</t>
  </si>
  <si>
    <t>4522</t>
  </si>
  <si>
    <t>4722</t>
  </si>
  <si>
    <t>5722</t>
  </si>
  <si>
    <t>6522</t>
  </si>
  <si>
    <t>7122</t>
  </si>
  <si>
    <t>8222</t>
  </si>
  <si>
    <t>8822</t>
  </si>
  <si>
    <t>9122</t>
  </si>
  <si>
    <t>9822</t>
  </si>
  <si>
    <t>2022-01-14 00:00:00</t>
  </si>
  <si>
    <t>2022-01-17 00:00:00</t>
  </si>
  <si>
    <t>2022-01-18 00:00:00</t>
  </si>
  <si>
    <t>2022-01-19 00:00:00</t>
  </si>
  <si>
    <t>2022-01-21 00:00:00</t>
  </si>
  <si>
    <t>2022-01-24 00:00:00</t>
  </si>
  <si>
    <t>2022-01-25 00:00:00</t>
  </si>
  <si>
    <t>ver hoja 3</t>
  </si>
  <si>
    <t>CONTABILIDAD</t>
  </si>
  <si>
    <t>4022</t>
  </si>
  <si>
    <t>4222</t>
  </si>
  <si>
    <t>4422</t>
  </si>
  <si>
    <t>5022</t>
  </si>
  <si>
    <t>5322</t>
  </si>
  <si>
    <t>5522</t>
  </si>
  <si>
    <t>6322</t>
  </si>
  <si>
    <t>6822</t>
  </si>
  <si>
    <t>6922</t>
  </si>
  <si>
    <t>8522</t>
  </si>
  <si>
    <t>9322</t>
  </si>
  <si>
    <t>9522</t>
  </si>
  <si>
    <t>9622</t>
  </si>
  <si>
    <t>06/012022</t>
  </si>
  <si>
    <t>ver hoja 4</t>
  </si>
  <si>
    <t>4322</t>
  </si>
  <si>
    <t>5122</t>
  </si>
  <si>
    <t>5222</t>
  </si>
  <si>
    <t>6222</t>
  </si>
  <si>
    <t>7022</t>
  </si>
  <si>
    <t>8022</t>
  </si>
  <si>
    <t>9022</t>
  </si>
  <si>
    <t>9922-10022</t>
  </si>
  <si>
    <t>3122-3622-3722</t>
  </si>
  <si>
    <t>Contratación directa</t>
  </si>
  <si>
    <t>Interventoría Mantenimiento a todo costo de unas viviendas fiscales y sus áreas comunes en las seccionales a nivel nacional</t>
  </si>
  <si>
    <t xml:space="preserve">Caja Menor inversion </t>
  </si>
  <si>
    <t>CORRECCIÓN DE ESTILO, ORTOGRAFÍA, DISEÑO, DIAGRAMACIÓN AL
TEXTO (ACUERDO 002 DE 2021), ASÍ COMO LA PUBLICACIÓN EN EL
DIARIO OFICIAL DEL ACUERDO 002 DE 2021 QUE REGLAMENTA LA
ADMINISTRACIÓN DE LAS VIVIENDAS FISCALES DEL INSTITUTO DE
CASAS FISCALES DEL EJÉRCITO.</t>
  </si>
  <si>
    <t>82121500
82141500</t>
  </si>
  <si>
    <t>CONTRATCION DIRECTA</t>
  </si>
  <si>
    <t>SERVICIO DE INSPECCIÓN CERTIFICADA PARA EQUIPOS PARA TRABAJO
SEGURO EN ALTURAS (INCLUYE MANTENIMIENTO DE LOS EQUIPOS).</t>
  </si>
  <si>
    <t xml:space="preserve">MINIMA CUANTIA </t>
  </si>
  <si>
    <t xml:space="preserve">SUMINISTRO Y RECARGA DE EXTINTORES </t>
  </si>
  <si>
    <t>Junio</t>
  </si>
  <si>
    <t>GESTION INTEGRAL</t>
  </si>
  <si>
    <t xml:space="preserve">SELECCIÓN ABREVIADA MENOR CUANTIA  </t>
  </si>
  <si>
    <t xml:space="preserve">                                                                     </t>
  </si>
  <si>
    <t>Construcción edificio Popayán -Cauca  (12 aptos) (Cucuta)</t>
  </si>
  <si>
    <t>Interventoría Construcción edificio Popayán -Cauca  (Cucuta)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</si>
</sst>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3">
    <numFmt numFmtId="42" formatCode="_-&quot;$&quot;\ * #,##0_-;\-&quot;$&quot;\ * #,##0_-;_-&quot;$&quot;\ * &quot;-&quot;_-;_-@_-"/>
    <numFmt numFmtId="44" formatCode="_-&quot;$&quot;\ * #,##0.00_-;\-&quot;$&quot;\ * #,##0.00_-;_-&quot;$&quot;\ * &quot;-&quot;??_-;_-@_-"/>
    <numFmt numFmtId="43" formatCode="_-* #,##0.00_-;\-* #,##0.00_-;_-* &quot;-&quot;??_-;_-@_-"/>
    <numFmt numFmtId="164" formatCode="_(&quot;$&quot;\ * #,##0.00_);_(&quot;$&quot;\ * \(#,##0.00\);_(&quot;$&quot;\ * &quot;-&quot;??_);_(@_)"/>
    <numFmt numFmtId="165" formatCode="_(* #,##0.00_);_(* \(#,##0.00\);_(* &quot;-&quot;??_);_(@_)"/>
    <numFmt numFmtId="166" formatCode="_(&quot;$&quot;* #,##0_);_(&quot;$&quot;* \(#,##0\);_(&quot;$&quot;* &quot;-&quot;_);_(@_)"/>
    <numFmt numFmtId="167" formatCode="&quot;$&quot;\ #,##0"/>
    <numFmt numFmtId="168" formatCode="dd/mm/yyyy;@"/>
    <numFmt numFmtId="169" formatCode="&quot;$&quot;\ #,##0.00"/>
    <numFmt numFmtId="170" formatCode="_(&quot;$&quot;* #,##0.00_);_(&quot;$&quot;* \(#,##0.00\);_(&quot;$&quot;* &quot;-&quot;_);_(@_)"/>
    <numFmt numFmtId="171" formatCode="&quot;$&quot;\ #,##0.0"/>
    <numFmt numFmtId="172" formatCode="_-&quot;$&quot;\ * #,##0.0_-;\-&quot;$&quot;\ * #,##0.0_-;_-&quot;$&quot;\ * &quot;-&quot;??_-;_-@_-"/>
    <numFmt numFmtId="173" formatCode="_(&quot;$&quot;* #,##0.00000_);_(&quot;$&quot;* \(#,##0.00000\);_(&quot;$&quot;* &quot;-&quot;_);_(@_)"/>
  </numFmts>
  <fonts count="19" x14ac:knownFonts="1">
    <font>
      <sz val="11"/>
      <color theme="1"/>
      <name val="Calibri"/>
      <family val="2"/>
      <scheme val="minor"/>
    </font>
    <font>
      <sz val="12"/>
      <color theme="1"/>
      <name val="Arial"/>
      <family val="2"/>
    </font>
    <font>
      <sz val="11"/>
      <color theme="1"/>
      <name val="Calibri"/>
      <family val="2"/>
      <scheme val="minor"/>
    </font>
    <font>
      <b/>
      <sz val="12"/>
      <color theme="1"/>
      <name val="Arial"/>
      <family val="2"/>
    </font>
    <font>
      <sz val="12"/>
      <name val="Arial"/>
      <family val="2"/>
    </font>
    <font>
      <b/>
      <sz val="11"/>
      <color theme="0"/>
      <name val="Calibri"/>
      <family val="2"/>
      <scheme val="minor"/>
    </font>
    <font>
      <sz val="11"/>
      <color theme="0"/>
      <name val="Calibri"/>
      <family val="2"/>
      <scheme val="minor"/>
    </font>
    <font>
      <b/>
      <sz val="9"/>
      <color indexed="81"/>
      <name val="Tahoma"/>
      <family val="2"/>
    </font>
    <font>
      <sz val="9"/>
      <color indexed="81"/>
      <name val="Tahoma"/>
      <family val="2"/>
    </font>
    <font>
      <sz val="12"/>
      <color theme="0"/>
      <name val="Arial"/>
      <family val="2"/>
    </font>
    <font>
      <b/>
      <sz val="12"/>
      <color theme="0"/>
      <name val="Arial"/>
      <family val="2"/>
    </font>
    <font>
      <b/>
      <sz val="11"/>
      <name val="Calibri"/>
      <family val="2"/>
      <scheme val="minor"/>
    </font>
    <font>
      <b/>
      <sz val="12"/>
      <name val="Arial"/>
      <family val="2"/>
    </font>
    <font>
      <b/>
      <sz val="12"/>
      <color theme="7" tint="0.59999389629810485"/>
      <name val="Arial"/>
      <family val="2"/>
    </font>
    <font>
      <sz val="12"/>
      <color rgb="FFFF0000"/>
      <name val="Arial"/>
      <family val="2"/>
    </font>
    <font>
      <sz val="8"/>
      <name val="Calibri"/>
      <family val="2"/>
      <scheme val="minor"/>
    </font>
    <font>
      <sz val="10"/>
      <color theme="1"/>
      <name val="Calibri"/>
      <family val="2"/>
      <scheme val="minor"/>
    </font>
    <font>
      <sz val="9"/>
      <color indexed="81"/>
      <name val="Tahoma"/>
      <charset val="1"/>
    </font>
    <font>
      <b/>
      <sz val="9"/>
      <color indexed="81"/>
      <name val="Tahoma"/>
      <charset val="1"/>
    </font>
  </fonts>
  <fills count="32">
    <fill>
      <patternFill patternType="none"/>
    </fill>
    <fill>
      <patternFill patternType="gray125"/>
    </fill>
    <fill>
      <patternFill patternType="solid">
        <fgColor theme="0"/>
        <bgColor indexed="64"/>
      </patternFill>
    </fill>
    <fill>
      <patternFill patternType="solid">
        <fgColor theme="4"/>
      </patternFill>
    </fill>
    <fill>
      <patternFill patternType="solid">
        <fgColor theme="2" tint="-9.9978637043366805E-2"/>
        <bgColor indexed="64"/>
      </patternFill>
    </fill>
    <fill>
      <patternFill patternType="solid">
        <fgColor theme="9" tint="-0.499984740745262"/>
        <bgColor indexed="64"/>
      </patternFill>
    </fill>
    <fill>
      <patternFill patternType="solid">
        <fgColor theme="9" tint="-0.249977111117893"/>
        <bgColor indexed="64"/>
      </patternFill>
    </fill>
    <fill>
      <patternFill patternType="solid">
        <fgColor theme="5" tint="0.59999389629810485"/>
        <bgColor indexed="64"/>
      </patternFill>
    </fill>
    <fill>
      <patternFill patternType="solid">
        <fgColor theme="7" tint="-0.249977111117893"/>
        <bgColor indexed="64"/>
      </patternFill>
    </fill>
    <fill>
      <patternFill patternType="solid">
        <fgColor theme="5" tint="0.79998168889431442"/>
        <bgColor indexed="64"/>
      </patternFill>
    </fill>
    <fill>
      <patternFill patternType="solid">
        <fgColor theme="8" tint="0.59999389629810485"/>
        <bgColor indexed="64"/>
      </patternFill>
    </fill>
    <fill>
      <patternFill patternType="solid">
        <fgColor theme="9" tint="0.39997558519241921"/>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8" tint="0.39997558519241921"/>
        <bgColor indexed="64"/>
      </patternFill>
    </fill>
    <fill>
      <patternFill patternType="solid">
        <fgColor theme="7" tint="-0.499984740745262"/>
        <bgColor indexed="64"/>
      </patternFill>
    </fill>
    <fill>
      <patternFill patternType="solid">
        <fgColor theme="3" tint="0.39997558519241921"/>
        <bgColor indexed="64"/>
      </patternFill>
    </fill>
    <fill>
      <patternFill patternType="solid">
        <fgColor theme="3" tint="-0.249977111117893"/>
        <bgColor indexed="64"/>
      </patternFill>
    </fill>
    <fill>
      <patternFill patternType="solid">
        <fgColor theme="3" tint="-0.499984740745262"/>
        <bgColor indexed="64"/>
      </patternFill>
    </fill>
    <fill>
      <patternFill patternType="solid">
        <fgColor rgb="FF0070C0"/>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rgb="FFFFC000"/>
        <bgColor indexed="64"/>
      </patternFill>
    </fill>
    <fill>
      <patternFill patternType="solid">
        <fgColor theme="7" tint="0.79998168889431442"/>
        <bgColor indexed="64"/>
      </patternFill>
    </fill>
    <fill>
      <patternFill patternType="solid">
        <fgColor rgb="FF00FF00"/>
        <bgColor indexed="64"/>
      </patternFill>
    </fill>
    <fill>
      <patternFill patternType="solid">
        <fgColor theme="4" tint="0.79998168889431442"/>
        <bgColor indexed="64"/>
      </patternFill>
    </fill>
    <fill>
      <patternFill patternType="solid">
        <fgColor rgb="FFFFFF00"/>
        <bgColor indexed="64"/>
      </patternFill>
    </fill>
    <fill>
      <patternFill patternType="solid">
        <fgColor rgb="FF9966FF"/>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92D050"/>
        <bgColor indexed="64"/>
      </patternFill>
    </fill>
    <fill>
      <patternFill patternType="solid">
        <fgColor rgb="FFFF0000"/>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style="thin">
        <color indexed="64"/>
      </top>
      <bottom/>
      <diagonal/>
    </border>
    <border>
      <left/>
      <right/>
      <top style="thin">
        <color indexed="64"/>
      </top>
      <bottom/>
      <diagonal/>
    </border>
    <border>
      <left style="medium">
        <color indexed="64"/>
      </left>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thin">
        <color indexed="64"/>
      </top>
      <bottom style="thin">
        <color indexed="64"/>
      </bottom>
      <diagonal/>
    </border>
    <border>
      <left style="thin">
        <color indexed="64"/>
      </left>
      <right/>
      <top style="medium">
        <color indexed="64"/>
      </top>
      <bottom/>
      <diagonal/>
    </border>
    <border>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right style="medium">
        <color indexed="64"/>
      </right>
      <top style="thin">
        <color indexed="64"/>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10">
    <xf numFmtId="0" fontId="0" fillId="0" borderId="0"/>
    <xf numFmtId="0" fontId="2" fillId="0" borderId="0"/>
    <xf numFmtId="165" fontId="2" fillId="0" borderId="0" applyFont="0" applyFill="0" applyBorder="0" applyAlignment="0" applyProtection="0"/>
    <xf numFmtId="0" fontId="6" fillId="3" borderId="0" applyNumberFormat="0" applyBorder="0" applyAlignment="0" applyProtection="0"/>
    <xf numFmtId="166" fontId="2" fillId="0" borderId="0" applyFont="0" applyFill="0" applyBorder="0" applyAlignment="0" applyProtection="0"/>
    <xf numFmtId="43"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2" fontId="2" fillId="0" borderId="0" applyFont="0" applyFill="0" applyBorder="0" applyAlignment="0" applyProtection="0"/>
    <xf numFmtId="164" fontId="2" fillId="0" borderId="0" applyFont="0" applyFill="0" applyBorder="0" applyAlignment="0" applyProtection="0"/>
  </cellStyleXfs>
  <cellXfs count="651">
    <xf numFmtId="0" fontId="0" fillId="0" borderId="0" xfId="0"/>
    <xf numFmtId="0" fontId="1" fillId="0" borderId="0" xfId="0" applyFont="1"/>
    <xf numFmtId="0" fontId="1" fillId="0" borderId="0" xfId="0" applyFont="1" applyAlignment="1">
      <alignment wrapText="1"/>
    </xf>
    <xf numFmtId="0" fontId="1" fillId="0" borderId="0" xfId="0" applyFont="1" applyAlignment="1">
      <alignment horizontal="center" vertical="center"/>
    </xf>
    <xf numFmtId="0" fontId="1" fillId="2" borderId="1" xfId="0" applyFont="1" applyFill="1" applyBorder="1" applyAlignment="1">
      <alignment horizontal="center" vertical="center"/>
    </xf>
    <xf numFmtId="167" fontId="4" fillId="2" borderId="1" xfId="2" applyNumberFormat="1" applyFont="1" applyFill="1" applyBorder="1" applyAlignment="1">
      <alignment horizontal="right" vertical="center" wrapText="1"/>
    </xf>
    <xf numFmtId="0" fontId="1" fillId="2" borderId="1" xfId="0" applyFont="1" applyFill="1" applyBorder="1" applyAlignment="1">
      <alignment wrapText="1"/>
    </xf>
    <xf numFmtId="0" fontId="1" fillId="0" borderId="1" xfId="0" applyFont="1" applyFill="1" applyBorder="1" applyAlignment="1">
      <alignment horizontal="center" vertical="center"/>
    </xf>
    <xf numFmtId="167" fontId="4" fillId="0" borderId="1" xfId="2" applyNumberFormat="1" applyFont="1" applyFill="1" applyBorder="1" applyAlignment="1">
      <alignment horizontal="right" vertical="center" wrapText="1"/>
    </xf>
    <xf numFmtId="0" fontId="1" fillId="0" borderId="1" xfId="0" applyFont="1" applyBorder="1"/>
    <xf numFmtId="0" fontId="1" fillId="0" borderId="1" xfId="0" applyFont="1" applyFill="1" applyBorder="1" applyAlignment="1">
      <alignment wrapText="1"/>
    </xf>
    <xf numFmtId="0" fontId="1" fillId="2" borderId="2" xfId="0" applyFont="1" applyFill="1" applyBorder="1" applyAlignment="1">
      <alignment horizontal="center" vertical="center"/>
    </xf>
    <xf numFmtId="0" fontId="1" fillId="0" borderId="2" xfId="0" applyFont="1" applyFill="1" applyBorder="1" applyAlignment="1">
      <alignment horizontal="center" vertical="center"/>
    </xf>
    <xf numFmtId="0" fontId="1" fillId="4" borderId="2" xfId="0" applyFont="1" applyFill="1" applyBorder="1" applyAlignment="1">
      <alignment horizontal="center" vertical="center"/>
    </xf>
    <xf numFmtId="0" fontId="1" fillId="4" borderId="1" xfId="0" applyFont="1" applyFill="1" applyBorder="1" applyAlignment="1">
      <alignment horizontal="center" vertical="center"/>
    </xf>
    <xf numFmtId="0" fontId="1" fillId="4" borderId="1" xfId="0" applyFont="1" applyFill="1" applyBorder="1" applyAlignment="1">
      <alignment wrapText="1"/>
    </xf>
    <xf numFmtId="167" fontId="4" fillId="4" borderId="1" xfId="2" applyNumberFormat="1" applyFont="1" applyFill="1" applyBorder="1" applyAlignment="1">
      <alignment horizontal="right" vertical="center" wrapText="1"/>
    </xf>
    <xf numFmtId="0" fontId="1" fillId="4" borderId="1" xfId="0" applyFont="1" applyFill="1" applyBorder="1"/>
    <xf numFmtId="0" fontId="3" fillId="0" borderId="0" xfId="0" applyFont="1"/>
    <xf numFmtId="0" fontId="9" fillId="5" borderId="5" xfId="0" applyFont="1" applyFill="1" applyBorder="1" applyAlignment="1">
      <alignment horizontal="center" vertical="center"/>
    </xf>
    <xf numFmtId="0" fontId="9" fillId="5" borderId="6" xfId="0" applyFont="1" applyFill="1" applyBorder="1" applyAlignment="1">
      <alignment horizontal="center" vertical="center"/>
    </xf>
    <xf numFmtId="0" fontId="1" fillId="7" borderId="2" xfId="0" applyFont="1" applyFill="1" applyBorder="1" applyAlignment="1">
      <alignment horizontal="center" vertical="center"/>
    </xf>
    <xf numFmtId="0" fontId="1" fillId="7" borderId="1" xfId="0" applyFont="1" applyFill="1" applyBorder="1" applyAlignment="1">
      <alignment horizontal="center" vertical="center"/>
    </xf>
    <xf numFmtId="0" fontId="1" fillId="7" borderId="1" xfId="0" applyFont="1" applyFill="1" applyBorder="1" applyAlignment="1">
      <alignment wrapText="1"/>
    </xf>
    <xf numFmtId="167" fontId="4" fillId="7" borderId="1" xfId="2" applyNumberFormat="1" applyFont="1" applyFill="1" applyBorder="1" applyAlignment="1">
      <alignment horizontal="right" vertical="center" wrapText="1"/>
    </xf>
    <xf numFmtId="0" fontId="1" fillId="7" borderId="1" xfId="0" applyFont="1" applyFill="1" applyBorder="1"/>
    <xf numFmtId="0" fontId="10" fillId="6" borderId="2" xfId="0" applyFont="1" applyFill="1" applyBorder="1" applyAlignment="1">
      <alignment horizontal="center" vertical="center"/>
    </xf>
    <xf numFmtId="0" fontId="10" fillId="6" borderId="1" xfId="0" applyFont="1" applyFill="1" applyBorder="1" applyAlignment="1">
      <alignment horizontal="center" vertical="center"/>
    </xf>
    <xf numFmtId="0" fontId="10" fillId="6" borderId="1" xfId="0" applyFont="1" applyFill="1" applyBorder="1" applyAlignment="1">
      <alignment wrapText="1"/>
    </xf>
    <xf numFmtId="167" fontId="10" fillId="6" borderId="1" xfId="2" applyNumberFormat="1" applyFont="1" applyFill="1" applyBorder="1" applyAlignment="1">
      <alignment horizontal="right" vertical="center" wrapText="1"/>
    </xf>
    <xf numFmtId="0" fontId="10" fillId="6" borderId="1" xfId="0" applyFont="1" applyFill="1" applyBorder="1"/>
    <xf numFmtId="0" fontId="1" fillId="9" borderId="2" xfId="0" applyFont="1" applyFill="1" applyBorder="1" applyAlignment="1">
      <alignment horizontal="center" vertical="center"/>
    </xf>
    <xf numFmtId="0" fontId="1" fillId="9" borderId="1" xfId="0" applyFont="1" applyFill="1" applyBorder="1" applyAlignment="1">
      <alignment horizontal="center" vertical="center"/>
    </xf>
    <xf numFmtId="0" fontId="1" fillId="9" borderId="1" xfId="0" applyFont="1" applyFill="1" applyBorder="1" applyAlignment="1">
      <alignment wrapText="1"/>
    </xf>
    <xf numFmtId="167" fontId="4" fillId="9" borderId="1" xfId="2" applyNumberFormat="1" applyFont="1" applyFill="1" applyBorder="1" applyAlignment="1">
      <alignment horizontal="right" vertical="center" wrapText="1"/>
    </xf>
    <xf numFmtId="0" fontId="1" fillId="9" borderId="1" xfId="0" applyFont="1" applyFill="1" applyBorder="1"/>
    <xf numFmtId="0" fontId="1" fillId="10" borderId="2" xfId="0" applyFont="1" applyFill="1" applyBorder="1" applyAlignment="1">
      <alignment horizontal="center" vertical="center"/>
    </xf>
    <xf numFmtId="0" fontId="1" fillId="10" borderId="1" xfId="0" applyFont="1" applyFill="1" applyBorder="1" applyAlignment="1">
      <alignment horizontal="center" vertical="center"/>
    </xf>
    <xf numFmtId="0" fontId="1" fillId="10" borderId="1" xfId="0" applyFont="1" applyFill="1" applyBorder="1" applyAlignment="1">
      <alignment wrapText="1"/>
    </xf>
    <xf numFmtId="167" fontId="4" fillId="10" borderId="1" xfId="2" applyNumberFormat="1" applyFont="1" applyFill="1" applyBorder="1" applyAlignment="1">
      <alignment horizontal="right" vertical="center" wrapText="1"/>
    </xf>
    <xf numFmtId="0" fontId="1" fillId="10" borderId="1" xfId="0" applyFont="1" applyFill="1" applyBorder="1"/>
    <xf numFmtId="0" fontId="1" fillId="11" borderId="2" xfId="0" applyFont="1" applyFill="1" applyBorder="1" applyAlignment="1">
      <alignment horizontal="center" vertical="center"/>
    </xf>
    <xf numFmtId="0" fontId="1" fillId="11" borderId="1" xfId="0" applyFont="1" applyFill="1" applyBorder="1" applyAlignment="1">
      <alignment horizontal="center" vertical="center"/>
    </xf>
    <xf numFmtId="0" fontId="1" fillId="11" borderId="1" xfId="0" applyFont="1" applyFill="1" applyBorder="1" applyAlignment="1">
      <alignment wrapText="1"/>
    </xf>
    <xf numFmtId="167" fontId="4" fillId="11" borderId="1" xfId="2" applyNumberFormat="1" applyFont="1" applyFill="1" applyBorder="1" applyAlignment="1">
      <alignment horizontal="right" vertical="center" wrapText="1"/>
    </xf>
    <xf numFmtId="0" fontId="1" fillId="11" borderId="1" xfId="0" applyFont="1" applyFill="1" applyBorder="1"/>
    <xf numFmtId="0" fontId="9" fillId="13" borderId="2" xfId="0" applyFont="1" applyFill="1" applyBorder="1" applyAlignment="1">
      <alignment horizontal="center" vertical="center"/>
    </xf>
    <xf numFmtId="0" fontId="9" fillId="13" borderId="1" xfId="0" applyFont="1" applyFill="1" applyBorder="1" applyAlignment="1">
      <alignment horizontal="center" vertical="center"/>
    </xf>
    <xf numFmtId="0" fontId="10" fillId="13" borderId="1" xfId="0" applyFont="1" applyFill="1" applyBorder="1" applyAlignment="1">
      <alignment wrapText="1"/>
    </xf>
    <xf numFmtId="167" fontId="10" fillId="13" borderId="1" xfId="2" applyNumberFormat="1" applyFont="1" applyFill="1" applyBorder="1" applyAlignment="1">
      <alignment horizontal="right" vertical="center" wrapText="1"/>
    </xf>
    <xf numFmtId="0" fontId="9" fillId="13" borderId="1" xfId="0" applyFont="1" applyFill="1" applyBorder="1"/>
    <xf numFmtId="0" fontId="10" fillId="12" borderId="2" xfId="0" applyFont="1" applyFill="1" applyBorder="1" applyAlignment="1">
      <alignment horizontal="center" vertical="center"/>
    </xf>
    <xf numFmtId="0" fontId="10" fillId="12" borderId="1" xfId="0" applyFont="1" applyFill="1" applyBorder="1" applyAlignment="1">
      <alignment horizontal="center" vertical="center"/>
    </xf>
    <xf numFmtId="0" fontId="10" fillId="12" borderId="1" xfId="0" applyFont="1" applyFill="1" applyBorder="1" applyAlignment="1">
      <alignment wrapText="1"/>
    </xf>
    <xf numFmtId="167" fontId="10" fillId="12" borderId="1" xfId="2" applyNumberFormat="1" applyFont="1" applyFill="1" applyBorder="1" applyAlignment="1">
      <alignment horizontal="right" vertical="center" wrapText="1"/>
    </xf>
    <xf numFmtId="0" fontId="10" fillId="12" borderId="1" xfId="0" applyFont="1" applyFill="1" applyBorder="1"/>
    <xf numFmtId="0" fontId="1" fillId="14" borderId="2" xfId="0" applyFont="1" applyFill="1" applyBorder="1" applyAlignment="1">
      <alignment horizontal="center" vertical="center"/>
    </xf>
    <xf numFmtId="0" fontId="1" fillId="14" borderId="1" xfId="0" applyFont="1" applyFill="1" applyBorder="1" applyAlignment="1">
      <alignment horizontal="center" vertical="center"/>
    </xf>
    <xf numFmtId="0" fontId="1" fillId="14" borderId="1" xfId="0" applyFont="1" applyFill="1" applyBorder="1" applyAlignment="1">
      <alignment wrapText="1"/>
    </xf>
    <xf numFmtId="167" fontId="4" fillId="14" borderId="1" xfId="2" applyNumberFormat="1" applyFont="1" applyFill="1" applyBorder="1" applyAlignment="1">
      <alignment horizontal="right" vertical="center" wrapText="1"/>
    </xf>
    <xf numFmtId="0" fontId="1" fillId="14" borderId="1" xfId="0" applyFont="1" applyFill="1" applyBorder="1"/>
    <xf numFmtId="0" fontId="10" fillId="15" borderId="1" xfId="0" applyFont="1" applyFill="1" applyBorder="1" applyAlignment="1">
      <alignment wrapText="1"/>
    </xf>
    <xf numFmtId="167" fontId="10" fillId="15" borderId="1" xfId="2" applyNumberFormat="1" applyFont="1" applyFill="1" applyBorder="1" applyAlignment="1">
      <alignment horizontal="right" vertical="center" wrapText="1"/>
    </xf>
    <xf numFmtId="0" fontId="10" fillId="15" borderId="2" xfId="0" applyFont="1" applyFill="1" applyBorder="1" applyAlignment="1">
      <alignment horizontal="center" vertical="center"/>
    </xf>
    <xf numFmtId="0" fontId="10" fillId="15" borderId="1" xfId="0" applyFont="1" applyFill="1" applyBorder="1" applyAlignment="1">
      <alignment horizontal="center" vertical="center"/>
    </xf>
    <xf numFmtId="0" fontId="10" fillId="15" borderId="1" xfId="0" applyFont="1" applyFill="1" applyBorder="1"/>
    <xf numFmtId="0" fontId="1" fillId="16" borderId="2" xfId="0" applyFont="1" applyFill="1" applyBorder="1" applyAlignment="1">
      <alignment horizontal="center" vertical="center"/>
    </xf>
    <xf numFmtId="0" fontId="1" fillId="16" borderId="1" xfId="0" applyFont="1" applyFill="1" applyBorder="1" applyAlignment="1">
      <alignment horizontal="center" vertical="center"/>
    </xf>
    <xf numFmtId="0" fontId="1" fillId="16" borderId="1" xfId="0" applyFont="1" applyFill="1" applyBorder="1" applyAlignment="1">
      <alignment wrapText="1"/>
    </xf>
    <xf numFmtId="167" fontId="4" fillId="16" borderId="1" xfId="2" applyNumberFormat="1" applyFont="1" applyFill="1" applyBorder="1" applyAlignment="1">
      <alignment horizontal="right" vertical="center" wrapText="1"/>
    </xf>
    <xf numFmtId="0" fontId="1" fillId="16" borderId="1" xfId="0" applyFont="1" applyFill="1" applyBorder="1"/>
    <xf numFmtId="0" fontId="10" fillId="8" borderId="2" xfId="0" applyFont="1" applyFill="1" applyBorder="1" applyAlignment="1">
      <alignment horizontal="center" vertical="center"/>
    </xf>
    <xf numFmtId="0" fontId="10" fillId="8" borderId="1" xfId="0" applyFont="1" applyFill="1" applyBorder="1" applyAlignment="1">
      <alignment horizontal="center" vertical="center"/>
    </xf>
    <xf numFmtId="0" fontId="10" fillId="8" borderId="1" xfId="0" applyFont="1" applyFill="1" applyBorder="1" applyAlignment="1">
      <alignment wrapText="1"/>
    </xf>
    <xf numFmtId="167" fontId="10" fillId="8" borderId="1" xfId="2" applyNumberFormat="1" applyFont="1" applyFill="1" applyBorder="1" applyAlignment="1">
      <alignment horizontal="right" vertical="center" wrapText="1"/>
    </xf>
    <xf numFmtId="0" fontId="10" fillId="8" borderId="1" xfId="0" applyFont="1" applyFill="1" applyBorder="1"/>
    <xf numFmtId="0" fontId="10" fillId="18" borderId="1" xfId="0" applyFont="1" applyFill="1" applyBorder="1" applyAlignment="1">
      <alignment wrapText="1"/>
    </xf>
    <xf numFmtId="167" fontId="10" fillId="18" borderId="1" xfId="2" applyNumberFormat="1" applyFont="1" applyFill="1" applyBorder="1" applyAlignment="1">
      <alignment horizontal="right" vertical="center" wrapText="1"/>
    </xf>
    <xf numFmtId="0" fontId="10" fillId="18" borderId="2" xfId="0" applyFont="1" applyFill="1" applyBorder="1" applyAlignment="1">
      <alignment horizontal="center" vertical="center"/>
    </xf>
    <xf numFmtId="0" fontId="10" fillId="18" borderId="1" xfId="0" applyFont="1" applyFill="1" applyBorder="1" applyAlignment="1">
      <alignment horizontal="center" vertical="center"/>
    </xf>
    <xf numFmtId="0" fontId="10" fillId="18" borderId="1" xfId="0" applyFont="1" applyFill="1" applyBorder="1"/>
    <xf numFmtId="0" fontId="10" fillId="17" borderId="2" xfId="0" applyFont="1" applyFill="1" applyBorder="1" applyAlignment="1">
      <alignment horizontal="center" vertical="center"/>
    </xf>
    <xf numFmtId="0" fontId="10" fillId="17" borderId="1" xfId="0" applyFont="1" applyFill="1" applyBorder="1" applyAlignment="1">
      <alignment horizontal="center" vertical="center"/>
    </xf>
    <xf numFmtId="0" fontId="10" fillId="17" borderId="1" xfId="0" applyFont="1" applyFill="1" applyBorder="1" applyAlignment="1">
      <alignment wrapText="1"/>
    </xf>
    <xf numFmtId="167" fontId="10" fillId="17" borderId="1" xfId="2" applyNumberFormat="1" applyFont="1" applyFill="1" applyBorder="1" applyAlignment="1">
      <alignment horizontal="right" vertical="center" wrapText="1"/>
    </xf>
    <xf numFmtId="0" fontId="10" fillId="17" borderId="1" xfId="0" applyFont="1" applyFill="1" applyBorder="1"/>
    <xf numFmtId="0" fontId="10" fillId="19" borderId="2" xfId="0" applyFont="1" applyFill="1" applyBorder="1" applyAlignment="1">
      <alignment horizontal="center" vertical="center"/>
    </xf>
    <xf numFmtId="0" fontId="10" fillId="19" borderId="1" xfId="0" applyFont="1" applyFill="1" applyBorder="1" applyAlignment="1">
      <alignment horizontal="center" vertical="center"/>
    </xf>
    <xf numFmtId="0" fontId="10" fillId="19" borderId="1" xfId="0" applyFont="1" applyFill="1" applyBorder="1" applyAlignment="1">
      <alignment wrapText="1"/>
    </xf>
    <xf numFmtId="167" fontId="10" fillId="19" borderId="1" xfId="2" applyNumberFormat="1" applyFont="1" applyFill="1" applyBorder="1" applyAlignment="1">
      <alignment horizontal="right" vertical="center" wrapText="1"/>
    </xf>
    <xf numFmtId="0" fontId="10" fillId="19" borderId="1" xfId="0" applyFont="1" applyFill="1" applyBorder="1"/>
    <xf numFmtId="0" fontId="1" fillId="20" borderId="2" xfId="0" applyFont="1" applyFill="1" applyBorder="1" applyAlignment="1">
      <alignment horizontal="center" vertical="center"/>
    </xf>
    <xf numFmtId="0" fontId="1" fillId="20" borderId="1" xfId="0" applyFont="1" applyFill="1" applyBorder="1" applyAlignment="1">
      <alignment horizontal="center" vertical="center"/>
    </xf>
    <xf numFmtId="0" fontId="1" fillId="20" borderId="1" xfId="0" applyFont="1" applyFill="1" applyBorder="1" applyAlignment="1">
      <alignment wrapText="1"/>
    </xf>
    <xf numFmtId="167" fontId="4" fillId="20" borderId="1" xfId="2" applyNumberFormat="1" applyFont="1" applyFill="1" applyBorder="1" applyAlignment="1">
      <alignment horizontal="right" vertical="center" wrapText="1"/>
    </xf>
    <xf numFmtId="0" fontId="1" fillId="20" borderId="1" xfId="0" applyFont="1" applyFill="1" applyBorder="1"/>
    <xf numFmtId="0" fontId="6" fillId="19" borderId="7" xfId="3" applyFont="1" applyFill="1" applyBorder="1" applyAlignment="1">
      <alignment horizontal="center" vertical="center" wrapText="1"/>
    </xf>
    <xf numFmtId="0" fontId="6" fillId="19" borderId="8" xfId="3" applyFont="1" applyFill="1" applyBorder="1" applyAlignment="1">
      <alignment horizontal="center" vertical="center" wrapText="1"/>
    </xf>
    <xf numFmtId="0" fontId="6" fillId="19" borderId="9" xfId="3" applyFont="1" applyFill="1" applyBorder="1" applyAlignment="1">
      <alignment horizontal="center" vertical="center" wrapText="1"/>
    </xf>
    <xf numFmtId="0" fontId="1" fillId="21" borderId="2" xfId="0" applyFont="1" applyFill="1" applyBorder="1" applyAlignment="1">
      <alignment horizontal="center" vertical="center"/>
    </xf>
    <xf numFmtId="0" fontId="1" fillId="21" borderId="1" xfId="0" applyFont="1" applyFill="1" applyBorder="1" applyAlignment="1">
      <alignment wrapText="1"/>
    </xf>
    <xf numFmtId="167" fontId="4" fillId="21" borderId="1" xfId="2" applyNumberFormat="1" applyFont="1" applyFill="1" applyBorder="1" applyAlignment="1">
      <alignment horizontal="right" vertical="center" wrapText="1"/>
    </xf>
    <xf numFmtId="0" fontId="1" fillId="21" borderId="1" xfId="0" applyFont="1" applyFill="1" applyBorder="1"/>
    <xf numFmtId="0" fontId="1" fillId="4" borderId="10" xfId="0" applyFont="1" applyFill="1" applyBorder="1" applyAlignment="1">
      <alignment horizontal="center" vertical="center"/>
    </xf>
    <xf numFmtId="0" fontId="1" fillId="4" borderId="11" xfId="0" applyFont="1" applyFill="1" applyBorder="1" applyAlignment="1">
      <alignment horizontal="center" vertical="center"/>
    </xf>
    <xf numFmtId="0" fontId="1" fillId="21" borderId="4" xfId="0" applyFont="1" applyFill="1" applyBorder="1" applyAlignment="1">
      <alignment wrapText="1"/>
    </xf>
    <xf numFmtId="167" fontId="4" fillId="21" borderId="4" xfId="2" applyNumberFormat="1" applyFont="1" applyFill="1" applyBorder="1" applyAlignment="1">
      <alignment horizontal="right" vertical="center" wrapText="1"/>
    </xf>
    <xf numFmtId="0" fontId="1" fillId="0" borderId="0" xfId="0" applyFont="1" applyAlignment="1">
      <alignment vertical="center"/>
    </xf>
    <xf numFmtId="0" fontId="1" fillId="0" borderId="1" xfId="0" applyFont="1" applyFill="1" applyBorder="1"/>
    <xf numFmtId="0" fontId="1" fillId="22" borderId="2" xfId="0" applyFont="1" applyFill="1" applyBorder="1" applyAlignment="1">
      <alignment horizontal="center" vertical="center"/>
    </xf>
    <xf numFmtId="0" fontId="1" fillId="22" borderId="1" xfId="0" applyFont="1" applyFill="1" applyBorder="1" applyAlignment="1">
      <alignment wrapText="1"/>
    </xf>
    <xf numFmtId="167" fontId="4" fillId="22" borderId="1" xfId="2" applyNumberFormat="1" applyFont="1" applyFill="1" applyBorder="1" applyAlignment="1">
      <alignment horizontal="right" vertical="center" wrapText="1"/>
    </xf>
    <xf numFmtId="0" fontId="1" fillId="22" borderId="1" xfId="0" applyFont="1" applyFill="1" applyBorder="1"/>
    <xf numFmtId="0" fontId="1" fillId="23" borderId="2" xfId="0" applyFont="1" applyFill="1" applyBorder="1" applyAlignment="1">
      <alignment horizontal="center" vertical="center"/>
    </xf>
    <xf numFmtId="0" fontId="1" fillId="23" borderId="1" xfId="0" applyFont="1" applyFill="1" applyBorder="1" applyAlignment="1">
      <alignment wrapText="1"/>
    </xf>
    <xf numFmtId="167" fontId="4" fillId="23" borderId="1" xfId="2" applyNumberFormat="1" applyFont="1" applyFill="1" applyBorder="1" applyAlignment="1">
      <alignment horizontal="right" vertical="center" wrapText="1"/>
    </xf>
    <xf numFmtId="0" fontId="1" fillId="23" borderId="1" xfId="0" applyFont="1" applyFill="1" applyBorder="1"/>
    <xf numFmtId="0" fontId="1" fillId="21" borderId="12" xfId="0" applyFont="1" applyFill="1" applyBorder="1" applyAlignment="1">
      <alignment vertical="center"/>
    </xf>
    <xf numFmtId="0" fontId="1" fillId="21" borderId="13" xfId="0" applyFont="1" applyFill="1" applyBorder="1" applyAlignment="1">
      <alignment vertical="center"/>
    </xf>
    <xf numFmtId="0" fontId="1" fillId="21" borderId="14" xfId="0" applyFont="1" applyFill="1" applyBorder="1" applyAlignment="1">
      <alignment vertical="center"/>
    </xf>
    <xf numFmtId="0" fontId="1" fillId="21" borderId="0" xfId="0" applyFont="1" applyFill="1" applyBorder="1" applyAlignment="1">
      <alignment vertical="center"/>
    </xf>
    <xf numFmtId="0" fontId="4" fillId="21" borderId="1" xfId="0" applyFont="1" applyFill="1" applyBorder="1" applyAlignment="1">
      <alignment wrapText="1"/>
    </xf>
    <xf numFmtId="0" fontId="4" fillId="21" borderId="2" xfId="0" applyFont="1" applyFill="1" applyBorder="1" applyAlignment="1">
      <alignment horizontal="center" vertical="center"/>
    </xf>
    <xf numFmtId="0" fontId="4" fillId="21" borderId="1" xfId="0" applyFont="1" applyFill="1" applyBorder="1"/>
    <xf numFmtId="0" fontId="1" fillId="21" borderId="1" xfId="0" applyFont="1" applyFill="1" applyBorder="1" applyAlignment="1">
      <alignment vertical="top" wrapText="1"/>
    </xf>
    <xf numFmtId="167" fontId="4" fillId="24" borderId="1" xfId="2" applyNumberFormat="1" applyFont="1" applyFill="1" applyBorder="1" applyAlignment="1">
      <alignment horizontal="right" vertical="center" wrapText="1"/>
    </xf>
    <xf numFmtId="167" fontId="4" fillId="24" borderId="4" xfId="2" applyNumberFormat="1" applyFont="1" applyFill="1" applyBorder="1" applyAlignment="1">
      <alignment horizontal="right" vertical="center" wrapText="1"/>
    </xf>
    <xf numFmtId="167" fontId="12" fillId="24" borderId="1" xfId="2" applyNumberFormat="1" applyFont="1" applyFill="1" applyBorder="1" applyAlignment="1">
      <alignment horizontal="right" vertical="center" wrapText="1"/>
    </xf>
    <xf numFmtId="168" fontId="1" fillId="0" borderId="0" xfId="0" applyNumberFormat="1" applyFont="1" applyAlignment="1">
      <alignment horizontal="center"/>
    </xf>
    <xf numFmtId="168" fontId="10" fillId="6" borderId="1" xfId="2" applyNumberFormat="1" applyFont="1" applyFill="1" applyBorder="1" applyAlignment="1">
      <alignment horizontal="center" vertical="center" wrapText="1"/>
    </xf>
    <xf numFmtId="168" fontId="4" fillId="11" borderId="1" xfId="2" applyNumberFormat="1" applyFont="1" applyFill="1" applyBorder="1" applyAlignment="1">
      <alignment horizontal="center" vertical="center" wrapText="1"/>
    </xf>
    <xf numFmtId="168" fontId="4" fillId="4" borderId="1" xfId="2" applyNumberFormat="1" applyFont="1" applyFill="1" applyBorder="1" applyAlignment="1">
      <alignment horizontal="center" vertical="center" wrapText="1"/>
    </xf>
    <xf numFmtId="168" fontId="4" fillId="20" borderId="1" xfId="2" applyNumberFormat="1" applyFont="1" applyFill="1" applyBorder="1" applyAlignment="1">
      <alignment horizontal="center" vertical="center" wrapText="1"/>
    </xf>
    <xf numFmtId="168" fontId="4" fillId="2" borderId="1" xfId="2" applyNumberFormat="1" applyFont="1" applyFill="1" applyBorder="1" applyAlignment="1">
      <alignment horizontal="center" vertical="center" wrapText="1"/>
    </xf>
    <xf numFmtId="168" fontId="4" fillId="21" borderId="1" xfId="2" applyNumberFormat="1" applyFont="1" applyFill="1" applyBorder="1" applyAlignment="1">
      <alignment horizontal="center" vertical="center" wrapText="1"/>
    </xf>
    <xf numFmtId="168" fontId="4" fillId="22" borderId="1" xfId="2" applyNumberFormat="1" applyFont="1" applyFill="1" applyBorder="1" applyAlignment="1">
      <alignment horizontal="center" vertical="center" wrapText="1"/>
    </xf>
    <xf numFmtId="168" fontId="4" fillId="0" borderId="1" xfId="2" applyNumberFormat="1" applyFont="1" applyFill="1" applyBorder="1" applyAlignment="1">
      <alignment horizontal="center" vertical="center" wrapText="1"/>
    </xf>
    <xf numFmtId="168" fontId="4" fillId="23" borderId="1" xfId="2" applyNumberFormat="1" applyFont="1" applyFill="1" applyBorder="1" applyAlignment="1">
      <alignment horizontal="center" vertical="center" wrapText="1"/>
    </xf>
    <xf numFmtId="168" fontId="10" fillId="13" borderId="1" xfId="2" applyNumberFormat="1" applyFont="1" applyFill="1" applyBorder="1" applyAlignment="1">
      <alignment horizontal="center" vertical="center" wrapText="1"/>
    </xf>
    <xf numFmtId="168" fontId="10" fillId="12" borderId="1" xfId="2" applyNumberFormat="1" applyFont="1" applyFill="1" applyBorder="1" applyAlignment="1">
      <alignment horizontal="center" vertical="center" wrapText="1"/>
    </xf>
    <xf numFmtId="168" fontId="4" fillId="7" borderId="1" xfId="2" applyNumberFormat="1" applyFont="1" applyFill="1" applyBorder="1" applyAlignment="1">
      <alignment horizontal="center" vertical="center" wrapText="1"/>
    </xf>
    <xf numFmtId="168" fontId="4" fillId="9" borderId="1" xfId="2" applyNumberFormat="1" applyFont="1" applyFill="1" applyBorder="1" applyAlignment="1">
      <alignment horizontal="center" vertical="center" wrapText="1"/>
    </xf>
    <xf numFmtId="168" fontId="10" fillId="15" borderId="1" xfId="2" applyNumberFormat="1" applyFont="1" applyFill="1" applyBorder="1" applyAlignment="1">
      <alignment horizontal="center" vertical="center" wrapText="1"/>
    </xf>
    <xf numFmtId="168" fontId="10" fillId="8" borderId="1" xfId="2" applyNumberFormat="1" applyFont="1" applyFill="1" applyBorder="1" applyAlignment="1">
      <alignment horizontal="center" vertical="center" wrapText="1"/>
    </xf>
    <xf numFmtId="168" fontId="10" fillId="18" borderId="1" xfId="2" applyNumberFormat="1" applyFont="1" applyFill="1" applyBorder="1" applyAlignment="1">
      <alignment horizontal="center" vertical="center" wrapText="1"/>
    </xf>
    <xf numFmtId="168" fontId="10" fillId="17" borderId="1" xfId="2" applyNumberFormat="1" applyFont="1" applyFill="1" applyBorder="1" applyAlignment="1">
      <alignment horizontal="center" vertical="center" wrapText="1"/>
    </xf>
    <xf numFmtId="168" fontId="4" fillId="16" borderId="1" xfId="2" applyNumberFormat="1" applyFont="1" applyFill="1" applyBorder="1" applyAlignment="1">
      <alignment horizontal="center" vertical="center" wrapText="1"/>
    </xf>
    <xf numFmtId="168" fontId="10" fillId="19" borderId="1" xfId="2" applyNumberFormat="1" applyFont="1" applyFill="1" applyBorder="1" applyAlignment="1">
      <alignment horizontal="center" vertical="center" wrapText="1"/>
    </xf>
    <xf numFmtId="168" fontId="4" fillId="14" borderId="1" xfId="2" applyNumberFormat="1" applyFont="1" applyFill="1" applyBorder="1" applyAlignment="1">
      <alignment horizontal="center" vertical="center" wrapText="1"/>
    </xf>
    <xf numFmtId="168" fontId="4" fillId="10" borderId="1" xfId="2" applyNumberFormat="1" applyFont="1" applyFill="1" applyBorder="1" applyAlignment="1">
      <alignment horizontal="center" vertical="center" wrapText="1"/>
    </xf>
    <xf numFmtId="168" fontId="4" fillId="21" borderId="4" xfId="2" applyNumberFormat="1" applyFont="1" applyFill="1" applyBorder="1" applyAlignment="1">
      <alignment horizontal="center" vertical="center" wrapText="1"/>
    </xf>
    <xf numFmtId="0" fontId="1" fillId="0" borderId="0" xfId="0" applyFont="1" applyAlignment="1">
      <alignment horizontal="center"/>
    </xf>
    <xf numFmtId="167" fontId="10" fillId="6" borderId="1" xfId="2" applyNumberFormat="1" applyFont="1" applyFill="1" applyBorder="1" applyAlignment="1">
      <alignment horizontal="center" vertical="center" wrapText="1"/>
    </xf>
    <xf numFmtId="167" fontId="4" fillId="11" borderId="1" xfId="2" applyNumberFormat="1" applyFont="1" applyFill="1" applyBorder="1" applyAlignment="1">
      <alignment horizontal="center" vertical="center" wrapText="1"/>
    </xf>
    <xf numFmtId="167" fontId="4" fillId="4" borderId="1" xfId="2" applyNumberFormat="1" applyFont="1" applyFill="1" applyBorder="1" applyAlignment="1">
      <alignment horizontal="center" vertical="center" wrapText="1"/>
    </xf>
    <xf numFmtId="167" fontId="4" fillId="20" borderId="1" xfId="2" applyNumberFormat="1" applyFont="1" applyFill="1" applyBorder="1" applyAlignment="1">
      <alignment horizontal="center" vertical="center" wrapText="1"/>
    </xf>
    <xf numFmtId="167" fontId="4" fillId="2" borderId="1" xfId="2" applyNumberFormat="1" applyFont="1" applyFill="1" applyBorder="1" applyAlignment="1">
      <alignment horizontal="center" vertical="center" wrapText="1"/>
    </xf>
    <xf numFmtId="167" fontId="4" fillId="21" borderId="1" xfId="2" applyNumberFormat="1" applyFont="1" applyFill="1" applyBorder="1" applyAlignment="1">
      <alignment horizontal="center" vertical="center" wrapText="1"/>
    </xf>
    <xf numFmtId="167" fontId="4" fillId="22" borderId="1" xfId="2" applyNumberFormat="1" applyFont="1" applyFill="1" applyBorder="1" applyAlignment="1">
      <alignment horizontal="center" vertical="center" wrapText="1"/>
    </xf>
    <xf numFmtId="167" fontId="4" fillId="0" borderId="1" xfId="2" applyNumberFormat="1" applyFont="1" applyFill="1" applyBorder="1" applyAlignment="1">
      <alignment horizontal="center" vertical="center" wrapText="1"/>
    </xf>
    <xf numFmtId="167" fontId="4" fillId="23" borderId="1" xfId="2" applyNumberFormat="1" applyFont="1" applyFill="1" applyBorder="1" applyAlignment="1">
      <alignment horizontal="center" vertical="center" wrapText="1"/>
    </xf>
    <xf numFmtId="167" fontId="10" fillId="13" borderId="1" xfId="2" applyNumberFormat="1" applyFont="1" applyFill="1" applyBorder="1" applyAlignment="1">
      <alignment horizontal="center" vertical="center" wrapText="1"/>
    </xf>
    <xf numFmtId="167" fontId="10" fillId="12" borderId="1" xfId="2" applyNumberFormat="1" applyFont="1" applyFill="1" applyBorder="1" applyAlignment="1">
      <alignment horizontal="center" vertical="center" wrapText="1"/>
    </xf>
    <xf numFmtId="167" fontId="4" fillId="7" borderId="1" xfId="2" applyNumberFormat="1" applyFont="1" applyFill="1" applyBorder="1" applyAlignment="1">
      <alignment horizontal="center" vertical="center" wrapText="1"/>
    </xf>
    <xf numFmtId="167" fontId="4" fillId="9" borderId="1" xfId="2" applyNumberFormat="1" applyFont="1" applyFill="1" applyBorder="1" applyAlignment="1">
      <alignment horizontal="center" vertical="center" wrapText="1"/>
    </xf>
    <xf numFmtId="167" fontId="10" fillId="15" borderId="1" xfId="2" applyNumberFormat="1" applyFont="1" applyFill="1" applyBorder="1" applyAlignment="1">
      <alignment horizontal="center" vertical="center" wrapText="1"/>
    </xf>
    <xf numFmtId="167" fontId="10" fillId="8" borderId="1" xfId="2" applyNumberFormat="1" applyFont="1" applyFill="1" applyBorder="1" applyAlignment="1">
      <alignment horizontal="center" vertical="center" wrapText="1"/>
    </xf>
    <xf numFmtId="167" fontId="10" fillId="18" borderId="1" xfId="2" applyNumberFormat="1" applyFont="1" applyFill="1" applyBorder="1" applyAlignment="1">
      <alignment horizontal="center" vertical="center" wrapText="1"/>
    </xf>
    <xf numFmtId="167" fontId="10" fillId="17" borderId="1" xfId="2" applyNumberFormat="1" applyFont="1" applyFill="1" applyBorder="1" applyAlignment="1">
      <alignment horizontal="center" vertical="center" wrapText="1"/>
    </xf>
    <xf numFmtId="167" fontId="4" fillId="16" borderId="1" xfId="2" applyNumberFormat="1" applyFont="1" applyFill="1" applyBorder="1" applyAlignment="1">
      <alignment horizontal="center" vertical="center" wrapText="1"/>
    </xf>
    <xf numFmtId="167" fontId="10" fillId="19" borderId="1" xfId="2" applyNumberFormat="1" applyFont="1" applyFill="1" applyBorder="1" applyAlignment="1">
      <alignment horizontal="center" vertical="center" wrapText="1"/>
    </xf>
    <xf numFmtId="167" fontId="4" fillId="14" borderId="1" xfId="2" applyNumberFormat="1" applyFont="1" applyFill="1" applyBorder="1" applyAlignment="1">
      <alignment horizontal="center" vertical="center" wrapText="1"/>
    </xf>
    <xf numFmtId="167" fontId="4" fillId="10" borderId="1" xfId="2" applyNumberFormat="1" applyFont="1" applyFill="1" applyBorder="1" applyAlignment="1">
      <alignment horizontal="center" vertical="center" wrapText="1"/>
    </xf>
    <xf numFmtId="167" fontId="4" fillId="21" borderId="4" xfId="2" applyNumberFormat="1" applyFont="1" applyFill="1" applyBorder="1" applyAlignment="1">
      <alignment horizontal="center" vertical="center" wrapText="1"/>
    </xf>
    <xf numFmtId="167" fontId="4" fillId="25" borderId="1" xfId="2" applyNumberFormat="1" applyFont="1" applyFill="1" applyBorder="1" applyAlignment="1">
      <alignment horizontal="right" vertical="center" wrapText="1"/>
    </xf>
    <xf numFmtId="167" fontId="4" fillId="25" borderId="4" xfId="2" applyNumberFormat="1" applyFont="1" applyFill="1" applyBorder="1" applyAlignment="1">
      <alignment horizontal="right" vertical="center" wrapText="1"/>
    </xf>
    <xf numFmtId="0" fontId="1" fillId="22" borderId="2" xfId="0" applyFont="1" applyFill="1" applyBorder="1" applyAlignment="1">
      <alignment horizontal="center" vertical="center" wrapText="1"/>
    </xf>
    <xf numFmtId="0" fontId="1" fillId="21" borderId="2" xfId="0" applyFont="1" applyFill="1" applyBorder="1" applyAlignment="1">
      <alignment horizontal="center" vertical="center" wrapText="1"/>
    </xf>
    <xf numFmtId="0" fontId="1" fillId="21" borderId="1" xfId="0" applyFont="1" applyFill="1" applyBorder="1" applyAlignment="1">
      <alignment vertical="center" wrapText="1"/>
    </xf>
    <xf numFmtId="0" fontId="1" fillId="22" borderId="1" xfId="0" applyFont="1" applyFill="1" applyBorder="1" applyAlignment="1">
      <alignment vertical="center" wrapText="1"/>
    </xf>
    <xf numFmtId="167" fontId="1" fillId="11" borderId="1" xfId="0" applyNumberFormat="1" applyFont="1" applyFill="1" applyBorder="1" applyAlignment="1">
      <alignment horizontal="center" vertical="center"/>
    </xf>
    <xf numFmtId="0" fontId="1" fillId="0" borderId="1" xfId="0" applyFont="1" applyBorder="1" applyAlignment="1">
      <alignment horizontal="center" vertical="center"/>
    </xf>
    <xf numFmtId="0" fontId="1" fillId="21" borderId="1" xfId="0" applyFont="1" applyFill="1" applyBorder="1" applyAlignment="1">
      <alignment horizontal="center" vertical="center"/>
    </xf>
    <xf numFmtId="167" fontId="1" fillId="0" borderId="1" xfId="0" applyNumberFormat="1" applyFont="1" applyBorder="1" applyAlignment="1">
      <alignment horizontal="center" vertical="center"/>
    </xf>
    <xf numFmtId="0" fontId="1" fillId="22" borderId="1" xfId="0" applyFont="1" applyFill="1" applyBorder="1" applyAlignment="1">
      <alignment horizontal="center" vertical="center"/>
    </xf>
    <xf numFmtId="167" fontId="1" fillId="0" borderId="1" xfId="0" applyNumberFormat="1" applyFont="1" applyFill="1" applyBorder="1" applyAlignment="1">
      <alignment horizontal="center" vertical="center"/>
    </xf>
    <xf numFmtId="167" fontId="1" fillId="20" borderId="1" xfId="0" applyNumberFormat="1" applyFont="1" applyFill="1" applyBorder="1" applyAlignment="1">
      <alignment horizontal="center" vertical="center"/>
    </xf>
    <xf numFmtId="0" fontId="1" fillId="23" borderId="1" xfId="0" applyFont="1" applyFill="1" applyBorder="1" applyAlignment="1">
      <alignment horizontal="center" vertical="center"/>
    </xf>
    <xf numFmtId="0" fontId="1" fillId="21" borderId="4" xfId="0" applyFont="1" applyFill="1" applyBorder="1" applyAlignment="1">
      <alignment horizontal="center" vertical="center"/>
    </xf>
    <xf numFmtId="0" fontId="1" fillId="2" borderId="1" xfId="0" applyFont="1" applyFill="1" applyBorder="1" applyAlignment="1">
      <alignment vertical="center" wrapText="1"/>
    </xf>
    <xf numFmtId="167" fontId="10" fillId="12" borderId="1" xfId="0" applyNumberFormat="1" applyFont="1" applyFill="1" applyBorder="1" applyAlignment="1">
      <alignment horizontal="center" vertical="center"/>
    </xf>
    <xf numFmtId="167" fontId="10" fillId="5" borderId="23" xfId="2" applyNumberFormat="1" applyFont="1" applyFill="1" applyBorder="1" applyAlignment="1">
      <alignment horizontal="right" vertical="center" wrapText="1"/>
    </xf>
    <xf numFmtId="0" fontId="9" fillId="5" borderId="19" xfId="0" applyFont="1" applyFill="1" applyBorder="1" applyAlignment="1">
      <alignment horizontal="center" vertical="center"/>
    </xf>
    <xf numFmtId="0" fontId="10" fillId="6" borderId="20" xfId="0" applyFont="1" applyFill="1" applyBorder="1" applyAlignment="1">
      <alignment horizontal="center" vertical="center"/>
    </xf>
    <xf numFmtId="0" fontId="1" fillId="11" borderId="20" xfId="0" applyFont="1" applyFill="1" applyBorder="1" applyAlignment="1">
      <alignment horizontal="center" vertical="center"/>
    </xf>
    <xf numFmtId="0" fontId="1" fillId="4" borderId="20" xfId="0" applyFont="1" applyFill="1" applyBorder="1" applyAlignment="1">
      <alignment horizontal="center" vertical="center"/>
    </xf>
    <xf numFmtId="0" fontId="1" fillId="20" borderId="20" xfId="0" applyFont="1" applyFill="1" applyBorder="1" applyAlignment="1">
      <alignment horizontal="center" vertical="center"/>
    </xf>
    <xf numFmtId="0" fontId="1" fillId="2" borderId="20" xfId="0" applyFont="1" applyFill="1" applyBorder="1" applyAlignment="1">
      <alignment horizontal="center" vertical="center"/>
    </xf>
    <xf numFmtId="0" fontId="1" fillId="0" borderId="20" xfId="0" applyFont="1" applyFill="1" applyBorder="1" applyAlignment="1">
      <alignment horizontal="center" vertical="center"/>
    </xf>
    <xf numFmtId="0" fontId="9" fillId="13" borderId="20" xfId="0" applyFont="1" applyFill="1" applyBorder="1" applyAlignment="1">
      <alignment horizontal="center" vertical="center"/>
    </xf>
    <xf numFmtId="0" fontId="10" fillId="12" borderId="20" xfId="0" applyFont="1" applyFill="1" applyBorder="1" applyAlignment="1">
      <alignment horizontal="center" vertical="center"/>
    </xf>
    <xf numFmtId="0" fontId="1" fillId="7" borderId="20" xfId="0" applyFont="1" applyFill="1" applyBorder="1" applyAlignment="1">
      <alignment horizontal="center" vertical="center"/>
    </xf>
    <xf numFmtId="0" fontId="1" fillId="9" borderId="20" xfId="0" applyFont="1" applyFill="1" applyBorder="1" applyAlignment="1">
      <alignment horizontal="center" vertical="center"/>
    </xf>
    <xf numFmtId="0" fontId="10" fillId="15" borderId="20" xfId="0" applyFont="1" applyFill="1" applyBorder="1" applyAlignment="1">
      <alignment horizontal="center" vertical="center"/>
    </xf>
    <xf numFmtId="0" fontId="10" fillId="8" borderId="20" xfId="0" applyFont="1" applyFill="1" applyBorder="1" applyAlignment="1">
      <alignment horizontal="center" vertical="center"/>
    </xf>
    <xf numFmtId="0" fontId="10" fillId="18" borderId="20" xfId="0" applyFont="1" applyFill="1" applyBorder="1" applyAlignment="1">
      <alignment horizontal="center" vertical="center"/>
    </xf>
    <xf numFmtId="0" fontId="10" fillId="17" borderId="20" xfId="0" applyFont="1" applyFill="1" applyBorder="1" applyAlignment="1">
      <alignment horizontal="center" vertical="center"/>
    </xf>
    <xf numFmtId="0" fontId="1" fillId="16" borderId="20" xfId="0" applyFont="1" applyFill="1" applyBorder="1" applyAlignment="1">
      <alignment horizontal="center" vertical="center"/>
    </xf>
    <xf numFmtId="0" fontId="10" fillId="19" borderId="20" xfId="0" applyFont="1" applyFill="1" applyBorder="1" applyAlignment="1">
      <alignment horizontal="center" vertical="center"/>
    </xf>
    <xf numFmtId="0" fontId="1" fillId="14" borderId="20" xfId="0" applyFont="1" applyFill="1" applyBorder="1" applyAlignment="1">
      <alignment horizontal="center" vertical="center"/>
    </xf>
    <xf numFmtId="0" fontId="1" fillId="10" borderId="20" xfId="0" applyFont="1" applyFill="1" applyBorder="1" applyAlignment="1">
      <alignment horizontal="center" vertical="center"/>
    </xf>
    <xf numFmtId="0" fontId="1" fillId="4" borderId="21" xfId="0" applyFont="1" applyFill="1" applyBorder="1" applyAlignment="1">
      <alignment horizontal="center" vertical="center"/>
    </xf>
    <xf numFmtId="167" fontId="4" fillId="16" borderId="26" xfId="2" applyNumberFormat="1" applyFont="1" applyFill="1" applyBorder="1" applyAlignment="1">
      <alignment horizontal="right" vertical="center" wrapText="1"/>
    </xf>
    <xf numFmtId="0" fontId="5" fillId="19" borderId="24" xfId="3" applyFont="1" applyFill="1" applyBorder="1" applyAlignment="1">
      <alignment horizontal="center" vertical="center" wrapText="1"/>
    </xf>
    <xf numFmtId="0" fontId="5" fillId="19" borderId="25" xfId="3" applyFont="1" applyFill="1" applyBorder="1" applyAlignment="1">
      <alignment horizontal="center" vertical="center" wrapText="1"/>
    </xf>
    <xf numFmtId="168" fontId="5" fillId="19" borderId="25" xfId="3" applyNumberFormat="1" applyFont="1" applyFill="1" applyBorder="1" applyAlignment="1">
      <alignment horizontal="center" vertical="center" wrapText="1"/>
    </xf>
    <xf numFmtId="0" fontId="11" fillId="24" borderId="25" xfId="3" applyFont="1" applyFill="1" applyBorder="1" applyAlignment="1">
      <alignment horizontal="center" vertical="center" wrapText="1"/>
    </xf>
    <xf numFmtId="0" fontId="5" fillId="19" borderId="27" xfId="3" applyFont="1" applyFill="1" applyBorder="1" applyAlignment="1">
      <alignment horizontal="center" vertical="center" wrapText="1"/>
    </xf>
    <xf numFmtId="167" fontId="1" fillId="4" borderId="1" xfId="0" applyNumberFormat="1" applyFont="1" applyFill="1" applyBorder="1" applyAlignment="1">
      <alignment horizontal="center" vertical="center"/>
    </xf>
    <xf numFmtId="0" fontId="9" fillId="5" borderId="22" xfId="0" applyFont="1" applyFill="1" applyBorder="1" applyAlignment="1">
      <alignment horizontal="center" vertical="center"/>
    </xf>
    <xf numFmtId="0" fontId="10" fillId="5" borderId="23" xfId="0" applyFont="1" applyFill="1" applyBorder="1" applyAlignment="1">
      <alignment wrapText="1"/>
    </xf>
    <xf numFmtId="168" fontId="10" fillId="5" borderId="23" xfId="2" applyNumberFormat="1" applyFont="1" applyFill="1" applyBorder="1" applyAlignment="1">
      <alignment horizontal="center" vertical="center" wrapText="1"/>
    </xf>
    <xf numFmtId="167" fontId="10" fillId="5" borderId="23" xfId="2" applyNumberFormat="1" applyFont="1" applyFill="1" applyBorder="1" applyAlignment="1">
      <alignment horizontal="center" vertical="center" wrapText="1"/>
    </xf>
    <xf numFmtId="167" fontId="12" fillId="24" borderId="23" xfId="2" applyNumberFormat="1" applyFont="1" applyFill="1" applyBorder="1" applyAlignment="1">
      <alignment horizontal="right" vertical="center" wrapText="1"/>
    </xf>
    <xf numFmtId="0" fontId="9" fillId="5" borderId="23" xfId="0" applyFont="1" applyFill="1" applyBorder="1"/>
    <xf numFmtId="0" fontId="1" fillId="21" borderId="3" xfId="0" applyFont="1" applyFill="1" applyBorder="1" applyAlignment="1">
      <alignment horizontal="center" vertical="center" wrapText="1"/>
    </xf>
    <xf numFmtId="167" fontId="10" fillId="15" borderId="1" xfId="0" applyNumberFormat="1" applyFont="1" applyFill="1" applyBorder="1" applyAlignment="1">
      <alignment horizontal="center" vertical="center"/>
    </xf>
    <xf numFmtId="167" fontId="13" fillId="5" borderId="23" xfId="0" applyNumberFormat="1" applyFont="1" applyFill="1" applyBorder="1" applyAlignment="1">
      <alignment horizontal="center" vertical="center"/>
    </xf>
    <xf numFmtId="167" fontId="9" fillId="13" borderId="1" xfId="0" applyNumberFormat="1" applyFont="1" applyFill="1" applyBorder="1" applyAlignment="1">
      <alignment horizontal="center" vertical="center"/>
    </xf>
    <xf numFmtId="0" fontId="1" fillId="21" borderId="14" xfId="0" applyFont="1" applyFill="1" applyBorder="1" applyAlignment="1">
      <alignment horizontal="center" vertical="center"/>
    </xf>
    <xf numFmtId="0" fontId="1" fillId="21" borderId="0" xfId="0" applyFont="1" applyFill="1" applyBorder="1" applyAlignment="1">
      <alignment horizontal="center" vertical="center"/>
    </xf>
    <xf numFmtId="0" fontId="1" fillId="21" borderId="12" xfId="0" applyFont="1" applyFill="1" applyBorder="1" applyAlignment="1">
      <alignment horizontal="center" vertical="center"/>
    </xf>
    <xf numFmtId="0" fontId="1" fillId="21" borderId="13" xfId="0" applyFont="1" applyFill="1" applyBorder="1" applyAlignment="1">
      <alignment horizontal="center" vertical="center"/>
    </xf>
    <xf numFmtId="49" fontId="1" fillId="2" borderId="1" xfId="0" applyNumberFormat="1" applyFont="1" applyFill="1" applyBorder="1" applyAlignment="1">
      <alignment horizontal="center" vertical="center"/>
    </xf>
    <xf numFmtId="167" fontId="1" fillId="7" borderId="1" xfId="0" applyNumberFormat="1" applyFont="1" applyFill="1" applyBorder="1" applyAlignment="1">
      <alignment horizontal="center" vertical="center"/>
    </xf>
    <xf numFmtId="167" fontId="1" fillId="9" borderId="1" xfId="0" applyNumberFormat="1" applyFont="1" applyFill="1" applyBorder="1" applyAlignment="1">
      <alignment horizontal="center" vertical="center"/>
    </xf>
    <xf numFmtId="0" fontId="1" fillId="21" borderId="0" xfId="0" applyFont="1" applyFill="1" applyAlignment="1">
      <alignment horizontal="center" vertical="center"/>
    </xf>
    <xf numFmtId="0" fontId="1" fillId="21" borderId="0" xfId="0" applyFont="1" applyFill="1" applyAlignment="1">
      <alignment wrapText="1"/>
    </xf>
    <xf numFmtId="168" fontId="1" fillId="21" borderId="0" xfId="0" applyNumberFormat="1" applyFont="1" applyFill="1" applyAlignment="1">
      <alignment horizontal="center"/>
    </xf>
    <xf numFmtId="0" fontId="1" fillId="21" borderId="0" xfId="0" applyFont="1" applyFill="1" applyAlignment="1">
      <alignment horizontal="center"/>
    </xf>
    <xf numFmtId="0" fontId="1" fillId="21" borderId="0" xfId="0" applyFont="1" applyFill="1"/>
    <xf numFmtId="0" fontId="1" fillId="21" borderId="0" xfId="0" applyFont="1" applyFill="1" applyAlignment="1">
      <alignment vertical="center"/>
    </xf>
    <xf numFmtId="167" fontId="10" fillId="6" borderId="1" xfId="0" applyNumberFormat="1" applyFont="1" applyFill="1" applyBorder="1" applyAlignment="1">
      <alignment horizontal="center" vertical="center"/>
    </xf>
    <xf numFmtId="167" fontId="10" fillId="6" borderId="1" xfId="0" applyNumberFormat="1" applyFont="1" applyFill="1" applyBorder="1"/>
    <xf numFmtId="0" fontId="1" fillId="20" borderId="20" xfId="0" applyFont="1" applyFill="1" applyBorder="1" applyAlignment="1">
      <alignment vertical="center"/>
    </xf>
    <xf numFmtId="0" fontId="1" fillId="0" borderId="20" xfId="0" applyFont="1" applyBorder="1" applyAlignment="1">
      <alignment vertical="center"/>
    </xf>
    <xf numFmtId="0" fontId="1" fillId="0" borderId="0" xfId="0" applyFont="1" applyAlignment="1">
      <alignment horizontal="center" vertical="center"/>
    </xf>
    <xf numFmtId="14" fontId="1" fillId="21" borderId="1" xfId="0" applyNumberFormat="1" applyFont="1" applyFill="1" applyBorder="1" applyAlignment="1">
      <alignment horizontal="center" vertical="center" wrapText="1"/>
    </xf>
    <xf numFmtId="167" fontId="1" fillId="22" borderId="1" xfId="0" applyNumberFormat="1" applyFont="1" applyFill="1" applyBorder="1"/>
    <xf numFmtId="0" fontId="9" fillId="5" borderId="29" xfId="0" applyFont="1" applyFill="1" applyBorder="1" applyAlignment="1">
      <alignment vertical="center"/>
    </xf>
    <xf numFmtId="0" fontId="10" fillId="6" borderId="20" xfId="0" applyFont="1" applyFill="1" applyBorder="1" applyAlignment="1">
      <alignment vertical="center"/>
    </xf>
    <xf numFmtId="0" fontId="1" fillId="11" borderId="20" xfId="0" applyFont="1" applyFill="1" applyBorder="1" applyAlignment="1">
      <alignment vertical="center"/>
    </xf>
    <xf numFmtId="0" fontId="1" fillId="4" borderId="20" xfId="0" applyFont="1" applyFill="1" applyBorder="1" applyAlignment="1">
      <alignment vertical="center"/>
    </xf>
    <xf numFmtId="0" fontId="1" fillId="21" borderId="20" xfId="0" applyFont="1" applyFill="1" applyBorder="1" applyAlignment="1">
      <alignment vertical="center"/>
    </xf>
    <xf numFmtId="0" fontId="1" fillId="22" borderId="20" xfId="0" applyFont="1" applyFill="1" applyBorder="1" applyAlignment="1">
      <alignment vertical="center"/>
    </xf>
    <xf numFmtId="0" fontId="1" fillId="0" borderId="20" xfId="0" applyFont="1" applyFill="1" applyBorder="1" applyAlignment="1">
      <alignment vertical="center"/>
    </xf>
    <xf numFmtId="0" fontId="1" fillId="23" borderId="20" xfId="0" applyFont="1" applyFill="1" applyBorder="1" applyAlignment="1">
      <alignment vertical="center"/>
    </xf>
    <xf numFmtId="0" fontId="1" fillId="21" borderId="20" xfId="0" applyFont="1" applyFill="1" applyBorder="1" applyAlignment="1">
      <alignment vertical="center" wrapText="1"/>
    </xf>
    <xf numFmtId="0" fontId="9" fillId="13" borderId="20" xfId="0" applyFont="1" applyFill="1" applyBorder="1" applyAlignment="1">
      <alignment vertical="center"/>
    </xf>
    <xf numFmtId="0" fontId="10" fillId="12" borderId="20" xfId="0" applyFont="1" applyFill="1" applyBorder="1" applyAlignment="1">
      <alignment vertical="center"/>
    </xf>
    <xf numFmtId="0" fontId="1" fillId="7" borderId="20" xfId="0" applyFont="1" applyFill="1" applyBorder="1" applyAlignment="1">
      <alignment vertical="center"/>
    </xf>
    <xf numFmtId="0" fontId="1" fillId="9" borderId="20" xfId="0" applyFont="1" applyFill="1" applyBorder="1" applyAlignment="1">
      <alignment vertical="center"/>
    </xf>
    <xf numFmtId="0" fontId="10" fillId="15" borderId="20" xfId="0" applyFont="1" applyFill="1" applyBorder="1" applyAlignment="1">
      <alignment vertical="center"/>
    </xf>
    <xf numFmtId="0" fontId="10" fillId="8" borderId="20" xfId="0" applyFont="1" applyFill="1" applyBorder="1" applyAlignment="1">
      <alignment vertical="center"/>
    </xf>
    <xf numFmtId="0" fontId="4" fillId="21" borderId="20" xfId="0" applyFont="1" applyFill="1" applyBorder="1" applyAlignment="1">
      <alignment vertical="center"/>
    </xf>
    <xf numFmtId="0" fontId="10" fillId="18" borderId="20" xfId="0" applyFont="1" applyFill="1" applyBorder="1" applyAlignment="1">
      <alignment vertical="center"/>
    </xf>
    <xf numFmtId="0" fontId="10" fillId="17" borderId="20" xfId="0" applyFont="1" applyFill="1" applyBorder="1" applyAlignment="1">
      <alignment vertical="center"/>
    </xf>
    <xf numFmtId="0" fontId="1" fillId="16" borderId="20" xfId="0" applyFont="1" applyFill="1" applyBorder="1" applyAlignment="1">
      <alignment vertical="center"/>
    </xf>
    <xf numFmtId="0" fontId="10" fillId="19" borderId="20" xfId="0" applyFont="1" applyFill="1" applyBorder="1" applyAlignment="1">
      <alignment vertical="center"/>
    </xf>
    <xf numFmtId="0" fontId="1" fillId="14" borderId="20" xfId="0" applyFont="1" applyFill="1" applyBorder="1" applyAlignment="1">
      <alignment vertical="center"/>
    </xf>
    <xf numFmtId="0" fontId="1" fillId="10" borderId="20" xfId="0" applyFont="1" applyFill="1" applyBorder="1" applyAlignment="1">
      <alignment vertical="center"/>
    </xf>
    <xf numFmtId="0" fontId="1" fillId="21" borderId="30" xfId="0" applyFont="1" applyFill="1" applyBorder="1" applyAlignment="1">
      <alignment vertical="center"/>
    </xf>
    <xf numFmtId="0" fontId="1" fillId="21" borderId="0" xfId="0" applyFont="1" applyFill="1" applyBorder="1"/>
    <xf numFmtId="167" fontId="1" fillId="0" borderId="0" xfId="0" applyNumberFormat="1" applyFont="1"/>
    <xf numFmtId="0" fontId="1" fillId="5" borderId="1" xfId="0" applyFont="1" applyFill="1" applyBorder="1" applyAlignment="1">
      <alignment wrapText="1"/>
    </xf>
    <xf numFmtId="168" fontId="4" fillId="5" borderId="1" xfId="2" applyNumberFormat="1" applyFont="1" applyFill="1" applyBorder="1" applyAlignment="1">
      <alignment horizontal="center" vertical="center" wrapText="1"/>
    </xf>
    <xf numFmtId="167" fontId="4" fillId="5" borderId="1" xfId="2" applyNumberFormat="1" applyFont="1" applyFill="1" applyBorder="1" applyAlignment="1">
      <alignment horizontal="center" vertical="center" wrapText="1"/>
    </xf>
    <xf numFmtId="167" fontId="4" fillId="5" borderId="1" xfId="2" applyNumberFormat="1" applyFont="1" applyFill="1" applyBorder="1" applyAlignment="1">
      <alignment horizontal="right" vertical="center" wrapText="1"/>
    </xf>
    <xf numFmtId="0" fontId="1" fillId="5" borderId="1" xfId="0" applyFont="1" applyFill="1" applyBorder="1" applyAlignment="1">
      <alignment horizontal="center" vertical="center"/>
    </xf>
    <xf numFmtId="0" fontId="1" fillId="5" borderId="1" xfId="0" applyFont="1" applyFill="1" applyBorder="1"/>
    <xf numFmtId="0" fontId="1" fillId="5" borderId="20" xfId="0" applyFont="1" applyFill="1" applyBorder="1" applyAlignment="1">
      <alignment vertical="center"/>
    </xf>
    <xf numFmtId="167" fontId="1" fillId="5" borderId="1" xfId="0" applyNumberFormat="1" applyFont="1" applyFill="1" applyBorder="1" applyAlignment="1">
      <alignment horizontal="center" vertical="center"/>
    </xf>
    <xf numFmtId="167" fontId="9" fillId="5" borderId="1" xfId="2" applyNumberFormat="1" applyFont="1" applyFill="1" applyBorder="1" applyAlignment="1">
      <alignment horizontal="right" vertical="center" wrapText="1"/>
    </xf>
    <xf numFmtId="0" fontId="1" fillId="21" borderId="0" xfId="0" applyFont="1" applyFill="1" applyBorder="1" applyAlignment="1">
      <alignment horizontal="center" vertical="center"/>
    </xf>
    <xf numFmtId="49" fontId="1" fillId="9" borderId="1" xfId="0" applyNumberFormat="1" applyFont="1" applyFill="1" applyBorder="1" applyAlignment="1">
      <alignment horizontal="center" vertical="center"/>
    </xf>
    <xf numFmtId="0" fontId="1" fillId="2" borderId="0" xfId="0" applyFont="1" applyFill="1"/>
    <xf numFmtId="49" fontId="1" fillId="2" borderId="2" xfId="0" applyNumberFormat="1" applyFont="1" applyFill="1" applyBorder="1" applyAlignment="1">
      <alignment horizontal="center" vertical="center"/>
    </xf>
    <xf numFmtId="49" fontId="1" fillId="2" borderId="20" xfId="0" applyNumberFormat="1" applyFont="1" applyFill="1" applyBorder="1" applyAlignment="1">
      <alignment horizontal="center" vertical="center"/>
    </xf>
    <xf numFmtId="0" fontId="1" fillId="2" borderId="1" xfId="0" applyFont="1" applyFill="1" applyBorder="1"/>
    <xf numFmtId="0" fontId="1" fillId="2" borderId="20" xfId="0" applyFont="1" applyFill="1" applyBorder="1" applyAlignment="1">
      <alignment vertical="center"/>
    </xf>
    <xf numFmtId="167" fontId="1" fillId="2" borderId="0" xfId="0" applyNumberFormat="1" applyFont="1" applyFill="1"/>
    <xf numFmtId="49" fontId="1" fillId="21" borderId="2" xfId="0" applyNumberFormat="1" applyFont="1" applyFill="1" applyBorder="1" applyAlignment="1">
      <alignment horizontal="center" vertical="center"/>
    </xf>
    <xf numFmtId="49" fontId="1" fillId="21" borderId="1" xfId="0" applyNumberFormat="1" applyFont="1" applyFill="1" applyBorder="1" applyAlignment="1">
      <alignment horizontal="center" vertical="center"/>
    </xf>
    <xf numFmtId="49" fontId="1" fillId="21" borderId="20" xfId="0" applyNumberFormat="1" applyFont="1" applyFill="1" applyBorder="1" applyAlignment="1">
      <alignment horizontal="center" vertical="center"/>
    </xf>
    <xf numFmtId="167" fontId="4" fillId="25" borderId="0" xfId="2" applyNumberFormat="1" applyFont="1" applyFill="1" applyBorder="1" applyAlignment="1">
      <alignment horizontal="right" vertical="center" wrapText="1"/>
    </xf>
    <xf numFmtId="0" fontId="1" fillId="0" borderId="0" xfId="0" applyNumberFormat="1" applyFont="1" applyAlignment="1">
      <alignment horizontal="center"/>
    </xf>
    <xf numFmtId="0" fontId="10" fillId="5" borderId="22" xfId="2" applyNumberFormat="1" applyFont="1" applyFill="1" applyBorder="1" applyAlignment="1">
      <alignment horizontal="center" vertical="center" wrapText="1"/>
    </xf>
    <xf numFmtId="0" fontId="10" fillId="6" borderId="2" xfId="2" applyNumberFormat="1" applyFont="1" applyFill="1" applyBorder="1" applyAlignment="1">
      <alignment horizontal="center" vertical="center" wrapText="1"/>
    </xf>
    <xf numFmtId="0" fontId="4" fillId="11" borderId="2" xfId="2" applyNumberFormat="1" applyFont="1" applyFill="1" applyBorder="1" applyAlignment="1">
      <alignment horizontal="center" vertical="center" wrapText="1"/>
    </xf>
    <xf numFmtId="0" fontId="4" fillId="4" borderId="2" xfId="2" applyNumberFormat="1" applyFont="1" applyFill="1" applyBorder="1" applyAlignment="1">
      <alignment horizontal="center" vertical="center" wrapText="1"/>
    </xf>
    <xf numFmtId="0" fontId="4" fillId="20" borderId="2" xfId="2" applyNumberFormat="1" applyFont="1" applyFill="1" applyBorder="1" applyAlignment="1">
      <alignment horizontal="center" vertical="center" wrapText="1"/>
    </xf>
    <xf numFmtId="0" fontId="4" fillId="2" borderId="2" xfId="2" applyNumberFormat="1" applyFont="1" applyFill="1" applyBorder="1" applyAlignment="1">
      <alignment horizontal="center" vertical="center" wrapText="1"/>
    </xf>
    <xf numFmtId="0" fontId="4" fillId="25" borderId="2" xfId="2" applyNumberFormat="1" applyFont="1" applyFill="1" applyBorder="1" applyAlignment="1">
      <alignment horizontal="center" vertical="center" wrapText="1"/>
    </xf>
    <xf numFmtId="0" fontId="4" fillId="0" borderId="2" xfId="2" applyNumberFormat="1" applyFont="1" applyFill="1" applyBorder="1" applyAlignment="1">
      <alignment horizontal="center" vertical="center" wrapText="1"/>
    </xf>
    <xf numFmtId="0" fontId="10" fillId="13" borderId="2" xfId="2" applyNumberFormat="1" applyFont="1" applyFill="1" applyBorder="1" applyAlignment="1">
      <alignment horizontal="center" vertical="center" wrapText="1"/>
    </xf>
    <xf numFmtId="0" fontId="10" fillId="12" borderId="2" xfId="2" applyNumberFormat="1" applyFont="1" applyFill="1" applyBorder="1" applyAlignment="1">
      <alignment horizontal="center" vertical="center" wrapText="1"/>
    </xf>
    <xf numFmtId="0" fontId="4" fillId="7" borderId="2" xfId="2" applyNumberFormat="1" applyFont="1" applyFill="1" applyBorder="1" applyAlignment="1">
      <alignment horizontal="center" vertical="center" wrapText="1"/>
    </xf>
    <xf numFmtId="0" fontId="4" fillId="9" borderId="2" xfId="2" applyNumberFormat="1" applyFont="1" applyFill="1" applyBorder="1" applyAlignment="1">
      <alignment horizontal="center" vertical="center" wrapText="1"/>
    </xf>
    <xf numFmtId="0" fontId="1" fillId="21" borderId="14" xfId="0" applyNumberFormat="1" applyFont="1" applyFill="1" applyBorder="1" applyAlignment="1">
      <alignment horizontal="center"/>
    </xf>
    <xf numFmtId="0" fontId="10" fillId="15" borderId="2" xfId="2" applyNumberFormat="1" applyFont="1" applyFill="1" applyBorder="1" applyAlignment="1">
      <alignment horizontal="center" vertical="center" wrapText="1"/>
    </xf>
    <xf numFmtId="0" fontId="10" fillId="8" borderId="2" xfId="2" applyNumberFormat="1" applyFont="1" applyFill="1" applyBorder="1" applyAlignment="1">
      <alignment horizontal="center" vertical="center" wrapText="1"/>
    </xf>
    <xf numFmtId="0" fontId="10" fillId="18" borderId="2" xfId="2" applyNumberFormat="1" applyFont="1" applyFill="1" applyBorder="1" applyAlignment="1">
      <alignment horizontal="center" vertical="center" wrapText="1"/>
    </xf>
    <xf numFmtId="0" fontId="10" fillId="17" borderId="2" xfId="2" applyNumberFormat="1" applyFont="1" applyFill="1" applyBorder="1" applyAlignment="1">
      <alignment horizontal="center" vertical="center" wrapText="1"/>
    </xf>
    <xf numFmtId="0" fontId="4" fillId="16" borderId="2" xfId="2" applyNumberFormat="1" applyFont="1" applyFill="1" applyBorder="1" applyAlignment="1">
      <alignment horizontal="center" vertical="center" wrapText="1"/>
    </xf>
    <xf numFmtId="0" fontId="10" fillId="19" borderId="2" xfId="2" applyNumberFormat="1" applyFont="1" applyFill="1" applyBorder="1" applyAlignment="1">
      <alignment horizontal="center" vertical="center" wrapText="1"/>
    </xf>
    <xf numFmtId="0" fontId="4" fillId="14" borderId="2" xfId="2" applyNumberFormat="1" applyFont="1" applyFill="1" applyBorder="1" applyAlignment="1">
      <alignment horizontal="center" vertical="center" wrapText="1"/>
    </xf>
    <xf numFmtId="0" fontId="4" fillId="10" borderId="2" xfId="2" applyNumberFormat="1" applyFont="1" applyFill="1" applyBorder="1" applyAlignment="1">
      <alignment horizontal="center" vertical="center" wrapText="1"/>
    </xf>
    <xf numFmtId="0" fontId="9" fillId="5" borderId="2" xfId="2" applyNumberFormat="1" applyFont="1" applyFill="1" applyBorder="1" applyAlignment="1">
      <alignment horizontal="center" vertical="center" wrapText="1"/>
    </xf>
    <xf numFmtId="0" fontId="4" fillId="25" borderId="3" xfId="2" applyNumberFormat="1" applyFont="1" applyFill="1" applyBorder="1" applyAlignment="1">
      <alignment horizontal="center" vertical="center" wrapText="1"/>
    </xf>
    <xf numFmtId="0" fontId="4" fillId="25" borderId="0" xfId="2" applyNumberFormat="1" applyFont="1" applyFill="1" applyBorder="1" applyAlignment="1">
      <alignment horizontal="center" vertical="center" wrapText="1"/>
    </xf>
    <xf numFmtId="0" fontId="10" fillId="19" borderId="24" xfId="3" applyNumberFormat="1" applyFont="1" applyFill="1" applyBorder="1" applyAlignment="1">
      <alignment horizontal="center" vertical="center" wrapText="1"/>
    </xf>
    <xf numFmtId="14" fontId="10" fillId="19" borderId="25" xfId="3" applyNumberFormat="1" applyFont="1" applyFill="1" applyBorder="1" applyAlignment="1">
      <alignment horizontal="center" vertical="center" wrapText="1"/>
    </xf>
    <xf numFmtId="17" fontId="10" fillId="19" borderId="25" xfId="3" applyNumberFormat="1" applyFont="1" applyFill="1" applyBorder="1" applyAlignment="1">
      <alignment horizontal="center" vertical="center" wrapText="1"/>
    </xf>
    <xf numFmtId="14" fontId="4" fillId="25" borderId="1" xfId="0" applyNumberFormat="1" applyFont="1" applyFill="1" applyBorder="1" applyAlignment="1">
      <alignment horizontal="center" vertical="center" wrapText="1"/>
    </xf>
    <xf numFmtId="166" fontId="4" fillId="25" borderId="1" xfId="4" applyFont="1" applyFill="1" applyBorder="1" applyAlignment="1">
      <alignment vertical="center" wrapText="1"/>
    </xf>
    <xf numFmtId="14" fontId="1" fillId="0" borderId="0" xfId="0" applyNumberFormat="1" applyFont="1" applyAlignment="1">
      <alignment horizontal="center"/>
    </xf>
    <xf numFmtId="14" fontId="10" fillId="5" borderId="23" xfId="2" applyNumberFormat="1" applyFont="1" applyFill="1" applyBorder="1" applyAlignment="1">
      <alignment horizontal="center" vertical="center" wrapText="1"/>
    </xf>
    <xf numFmtId="14" fontId="10" fillId="6" borderId="1" xfId="2" applyNumberFormat="1" applyFont="1" applyFill="1" applyBorder="1" applyAlignment="1">
      <alignment horizontal="center" vertical="center" wrapText="1"/>
    </xf>
    <xf numFmtId="14" fontId="4" fillId="11" borderId="1" xfId="2" applyNumberFormat="1" applyFont="1" applyFill="1" applyBorder="1" applyAlignment="1">
      <alignment horizontal="center" vertical="center" wrapText="1"/>
    </xf>
    <xf numFmtId="14" fontId="4" fillId="4" borderId="1" xfId="2" applyNumberFormat="1" applyFont="1" applyFill="1" applyBorder="1" applyAlignment="1">
      <alignment horizontal="center" vertical="center" wrapText="1"/>
    </xf>
    <xf numFmtId="14" fontId="4" fillId="20" borderId="1" xfId="2" applyNumberFormat="1" applyFont="1" applyFill="1" applyBorder="1" applyAlignment="1">
      <alignment horizontal="center" vertical="center" wrapText="1"/>
    </xf>
    <xf numFmtId="14" fontId="4" fillId="2" borderId="1" xfId="2" applyNumberFormat="1" applyFont="1" applyFill="1" applyBorder="1" applyAlignment="1">
      <alignment horizontal="center" vertical="center" wrapText="1"/>
    </xf>
    <xf numFmtId="14" fontId="4" fillId="25" borderId="1" xfId="2" applyNumberFormat="1" applyFont="1" applyFill="1" applyBorder="1" applyAlignment="1">
      <alignment horizontal="center" vertical="center" wrapText="1"/>
    </xf>
    <xf numFmtId="14" fontId="4" fillId="0" borderId="1" xfId="2" applyNumberFormat="1" applyFont="1" applyFill="1" applyBorder="1" applyAlignment="1">
      <alignment horizontal="center" vertical="center" wrapText="1"/>
    </xf>
    <xf numFmtId="14" fontId="10" fillId="13" borderId="1" xfId="2" applyNumberFormat="1" applyFont="1" applyFill="1" applyBorder="1" applyAlignment="1">
      <alignment horizontal="center" vertical="center" wrapText="1"/>
    </xf>
    <xf numFmtId="14" fontId="10" fillId="12" borderId="1" xfId="2" applyNumberFormat="1" applyFont="1" applyFill="1" applyBorder="1" applyAlignment="1">
      <alignment horizontal="center" vertical="center" wrapText="1"/>
    </xf>
    <xf numFmtId="14" fontId="4" fillId="7" borderId="1" xfId="2" applyNumberFormat="1" applyFont="1" applyFill="1" applyBorder="1" applyAlignment="1">
      <alignment horizontal="center" vertical="center" wrapText="1"/>
    </xf>
    <xf numFmtId="14" fontId="4" fillId="9" borderId="1" xfId="2" applyNumberFormat="1" applyFont="1" applyFill="1" applyBorder="1" applyAlignment="1">
      <alignment horizontal="center" vertical="center" wrapText="1"/>
    </xf>
    <xf numFmtId="14" fontId="1" fillId="21" borderId="0" xfId="0" applyNumberFormat="1" applyFont="1" applyFill="1" applyBorder="1" applyAlignment="1">
      <alignment horizontal="center"/>
    </xf>
    <xf numFmtId="14" fontId="10" fillId="15" borderId="1" xfId="2" applyNumberFormat="1" applyFont="1" applyFill="1" applyBorder="1" applyAlignment="1">
      <alignment horizontal="center" vertical="center" wrapText="1"/>
    </xf>
    <xf numFmtId="14" fontId="10" fillId="8" borderId="1" xfId="2" applyNumberFormat="1" applyFont="1" applyFill="1" applyBorder="1" applyAlignment="1">
      <alignment horizontal="center" vertical="center" wrapText="1"/>
    </xf>
    <xf numFmtId="14" fontId="10" fillId="18" borderId="1" xfId="2" applyNumberFormat="1" applyFont="1" applyFill="1" applyBorder="1" applyAlignment="1">
      <alignment horizontal="center" vertical="center" wrapText="1"/>
    </xf>
    <xf numFmtId="14" fontId="10" fillId="17" borderId="1" xfId="2" applyNumberFormat="1" applyFont="1" applyFill="1" applyBorder="1" applyAlignment="1">
      <alignment horizontal="center" vertical="center" wrapText="1"/>
    </xf>
    <xf numFmtId="14" fontId="4" fillId="16" borderId="1" xfId="2" applyNumberFormat="1" applyFont="1" applyFill="1" applyBorder="1" applyAlignment="1">
      <alignment horizontal="center" vertical="center" wrapText="1"/>
    </xf>
    <xf numFmtId="14" fontId="4" fillId="16" borderId="26" xfId="2" applyNumberFormat="1" applyFont="1" applyFill="1" applyBorder="1" applyAlignment="1">
      <alignment horizontal="center" vertical="center" wrapText="1"/>
    </xf>
    <xf numFmtId="14" fontId="10" fillId="19" borderId="1" xfId="2" applyNumberFormat="1" applyFont="1" applyFill="1" applyBorder="1" applyAlignment="1">
      <alignment horizontal="center" vertical="center" wrapText="1"/>
    </xf>
    <xf numFmtId="14" fontId="4" fillId="14" borderId="1" xfId="2" applyNumberFormat="1" applyFont="1" applyFill="1" applyBorder="1" applyAlignment="1">
      <alignment horizontal="center" vertical="center" wrapText="1"/>
    </xf>
    <xf numFmtId="14" fontId="4" fillId="10" borderId="1" xfId="2" applyNumberFormat="1" applyFont="1" applyFill="1" applyBorder="1" applyAlignment="1">
      <alignment horizontal="center" vertical="center" wrapText="1"/>
    </xf>
    <xf numFmtId="14" fontId="9" fillId="5" borderId="1" xfId="2" applyNumberFormat="1" applyFont="1" applyFill="1" applyBorder="1" applyAlignment="1">
      <alignment horizontal="center" vertical="center" wrapText="1"/>
    </xf>
    <xf numFmtId="14" fontId="4" fillId="25" borderId="4" xfId="2" applyNumberFormat="1" applyFont="1" applyFill="1" applyBorder="1" applyAlignment="1">
      <alignment horizontal="center" vertical="center" wrapText="1"/>
    </xf>
    <xf numFmtId="14" fontId="4" fillId="25" borderId="0" xfId="2" applyNumberFormat="1" applyFont="1" applyFill="1" applyBorder="1" applyAlignment="1">
      <alignment horizontal="center" vertical="center" wrapText="1"/>
    </xf>
    <xf numFmtId="0" fontId="1" fillId="21" borderId="20" xfId="0" applyFont="1" applyFill="1" applyBorder="1" applyAlignment="1">
      <alignment horizontal="center" vertical="center"/>
    </xf>
    <xf numFmtId="169" fontId="4" fillId="25" borderId="1" xfId="2" applyNumberFormat="1" applyFont="1" applyFill="1" applyBorder="1" applyAlignment="1">
      <alignment horizontal="right" vertical="center" wrapText="1"/>
    </xf>
    <xf numFmtId="169" fontId="4" fillId="4" borderId="1" xfId="2" applyNumberFormat="1" applyFont="1" applyFill="1" applyBorder="1" applyAlignment="1">
      <alignment horizontal="right" vertical="center" wrapText="1"/>
    </xf>
    <xf numFmtId="169" fontId="4" fillId="20" borderId="1" xfId="2" applyNumberFormat="1" applyFont="1" applyFill="1" applyBorder="1" applyAlignment="1">
      <alignment horizontal="right" vertical="center" wrapText="1"/>
    </xf>
    <xf numFmtId="169" fontId="4" fillId="2" borderId="1" xfId="2" applyNumberFormat="1" applyFont="1" applyFill="1" applyBorder="1" applyAlignment="1">
      <alignment horizontal="right" vertical="center" wrapText="1"/>
    </xf>
    <xf numFmtId="169" fontId="10" fillId="6" borderId="1" xfId="2" applyNumberFormat="1" applyFont="1" applyFill="1" applyBorder="1" applyAlignment="1">
      <alignment horizontal="right" vertical="center" wrapText="1"/>
    </xf>
    <xf numFmtId="169" fontId="4" fillId="11" borderId="1" xfId="2" applyNumberFormat="1" applyFont="1" applyFill="1" applyBorder="1" applyAlignment="1">
      <alignment horizontal="right" vertical="center" wrapText="1"/>
    </xf>
    <xf numFmtId="169" fontId="4" fillId="0" borderId="1" xfId="2" applyNumberFormat="1" applyFont="1" applyFill="1" applyBorder="1" applyAlignment="1">
      <alignment horizontal="right" vertical="center" wrapText="1"/>
    </xf>
    <xf numFmtId="169" fontId="10" fillId="5" borderId="23" xfId="2" applyNumberFormat="1" applyFont="1" applyFill="1" applyBorder="1" applyAlignment="1">
      <alignment horizontal="right" vertical="center" wrapText="1"/>
    </xf>
    <xf numFmtId="169" fontId="4" fillId="25" borderId="1" xfId="4" applyNumberFormat="1" applyFont="1" applyFill="1" applyBorder="1" applyAlignment="1">
      <alignment vertical="center" wrapText="1"/>
    </xf>
    <xf numFmtId="169" fontId="4" fillId="25" borderId="1" xfId="4" applyNumberFormat="1" applyFont="1" applyFill="1" applyBorder="1" applyAlignment="1">
      <alignment horizontal="center" vertical="center" wrapText="1"/>
    </xf>
    <xf numFmtId="169" fontId="10" fillId="13" borderId="1" xfId="2" applyNumberFormat="1" applyFont="1" applyFill="1" applyBorder="1" applyAlignment="1">
      <alignment horizontal="right" vertical="center" wrapText="1"/>
    </xf>
    <xf numFmtId="169" fontId="10" fillId="12" borderId="1" xfId="2" applyNumberFormat="1" applyFont="1" applyFill="1" applyBorder="1" applyAlignment="1">
      <alignment horizontal="right" vertical="center" wrapText="1"/>
    </xf>
    <xf numFmtId="169" fontId="4" fillId="7" borderId="1" xfId="2" applyNumberFormat="1" applyFont="1" applyFill="1" applyBorder="1" applyAlignment="1">
      <alignment horizontal="right" vertical="center" wrapText="1"/>
    </xf>
    <xf numFmtId="169" fontId="4" fillId="9" borderId="1" xfId="2" applyNumberFormat="1" applyFont="1" applyFill="1" applyBorder="1" applyAlignment="1">
      <alignment horizontal="right" vertical="center" wrapText="1"/>
    </xf>
    <xf numFmtId="169" fontId="1" fillId="21" borderId="0" xfId="0" applyNumberFormat="1" applyFont="1" applyFill="1" applyBorder="1"/>
    <xf numFmtId="169" fontId="10" fillId="15" borderId="1" xfId="2" applyNumberFormat="1" applyFont="1" applyFill="1" applyBorder="1" applyAlignment="1">
      <alignment horizontal="right" vertical="center" wrapText="1"/>
    </xf>
    <xf numFmtId="169" fontId="10" fillId="8" borderId="1" xfId="2" applyNumberFormat="1" applyFont="1" applyFill="1" applyBorder="1" applyAlignment="1">
      <alignment horizontal="right" vertical="center" wrapText="1"/>
    </xf>
    <xf numFmtId="169" fontId="10" fillId="18" borderId="1" xfId="2" applyNumberFormat="1" applyFont="1" applyFill="1" applyBorder="1" applyAlignment="1">
      <alignment horizontal="right" vertical="center" wrapText="1"/>
    </xf>
    <xf numFmtId="169" fontId="10" fillId="17" borderId="1" xfId="2" applyNumberFormat="1" applyFont="1" applyFill="1" applyBorder="1" applyAlignment="1">
      <alignment horizontal="right" vertical="center" wrapText="1"/>
    </xf>
    <xf numFmtId="169" fontId="4" fillId="16" borderId="1" xfId="2" applyNumberFormat="1" applyFont="1" applyFill="1" applyBorder="1" applyAlignment="1">
      <alignment horizontal="right" vertical="center" wrapText="1"/>
    </xf>
    <xf numFmtId="169" fontId="4" fillId="16" borderId="26" xfId="2" applyNumberFormat="1" applyFont="1" applyFill="1" applyBorder="1" applyAlignment="1">
      <alignment horizontal="right" vertical="center" wrapText="1"/>
    </xf>
    <xf numFmtId="169" fontId="10" fillId="19" borderId="1" xfId="2" applyNumberFormat="1" applyFont="1" applyFill="1" applyBorder="1" applyAlignment="1">
      <alignment horizontal="right" vertical="center" wrapText="1"/>
    </xf>
    <xf numFmtId="169" fontId="4" fillId="14" borderId="1" xfId="2" applyNumberFormat="1" applyFont="1" applyFill="1" applyBorder="1" applyAlignment="1">
      <alignment horizontal="right" vertical="center" wrapText="1"/>
    </xf>
    <xf numFmtId="169" fontId="4" fillId="10" borderId="1" xfId="2" applyNumberFormat="1" applyFont="1" applyFill="1" applyBorder="1" applyAlignment="1">
      <alignment horizontal="right" vertical="center" wrapText="1"/>
    </xf>
    <xf numFmtId="169" fontId="9" fillId="5" borderId="1" xfId="2" applyNumberFormat="1" applyFont="1" applyFill="1" applyBorder="1" applyAlignment="1">
      <alignment horizontal="right" vertical="center" wrapText="1"/>
    </xf>
    <xf numFmtId="169" fontId="4" fillId="25" borderId="4" xfId="2" applyNumberFormat="1" applyFont="1" applyFill="1" applyBorder="1" applyAlignment="1">
      <alignment horizontal="right" vertical="center" wrapText="1"/>
    </xf>
    <xf numFmtId="0" fontId="1" fillId="27" borderId="1" xfId="0" applyFont="1" applyFill="1" applyBorder="1" applyAlignment="1">
      <alignment vertical="center" wrapText="1"/>
    </xf>
    <xf numFmtId="167" fontId="4" fillId="21" borderId="4" xfId="2" applyNumberFormat="1" applyFont="1" applyFill="1" applyBorder="1" applyAlignment="1">
      <alignment horizontal="left" vertical="center" wrapText="1"/>
    </xf>
    <xf numFmtId="0" fontId="1" fillId="26" borderId="0" xfId="0" applyFont="1" applyFill="1"/>
    <xf numFmtId="0" fontId="1" fillId="23" borderId="1" xfId="0" applyFont="1" applyFill="1" applyBorder="1" applyAlignment="1">
      <alignment vertical="center" wrapText="1"/>
    </xf>
    <xf numFmtId="0" fontId="1" fillId="23" borderId="1" xfId="0" applyFont="1" applyFill="1" applyBorder="1" applyAlignment="1">
      <alignment vertical="center"/>
    </xf>
    <xf numFmtId="167" fontId="1" fillId="0" borderId="0" xfId="0" applyNumberFormat="1" applyFont="1" applyAlignment="1">
      <alignment vertical="center"/>
    </xf>
    <xf numFmtId="0" fontId="4" fillId="21" borderId="1" xfId="0" applyFont="1" applyFill="1" applyBorder="1" applyAlignment="1">
      <alignment vertical="center" wrapText="1"/>
    </xf>
    <xf numFmtId="0" fontId="1" fillId="0" borderId="0" xfId="0" applyFont="1" applyAlignment="1">
      <alignment horizontal="center" vertical="center"/>
    </xf>
    <xf numFmtId="169" fontId="1" fillId="0" borderId="0" xfId="0" applyNumberFormat="1" applyFont="1"/>
    <xf numFmtId="17" fontId="10" fillId="19" borderId="32" xfId="3" applyNumberFormat="1" applyFont="1" applyFill="1" applyBorder="1" applyAlignment="1">
      <alignment horizontal="center" vertical="center" wrapText="1"/>
    </xf>
    <xf numFmtId="0" fontId="1" fillId="0" borderId="0" xfId="0" applyFont="1" applyFill="1" applyBorder="1"/>
    <xf numFmtId="169" fontId="4" fillId="0" borderId="0" xfId="2" applyNumberFormat="1" applyFont="1" applyFill="1" applyBorder="1" applyAlignment="1">
      <alignment horizontal="right" vertical="center" wrapText="1"/>
    </xf>
    <xf numFmtId="169" fontId="14" fillId="26" borderId="1" xfId="2" applyNumberFormat="1" applyFont="1" applyFill="1" applyBorder="1" applyAlignment="1">
      <alignment horizontal="right" vertical="center" wrapText="1"/>
    </xf>
    <xf numFmtId="167" fontId="14" fillId="26" borderId="1" xfId="2" applyNumberFormat="1" applyFont="1" applyFill="1" applyBorder="1" applyAlignment="1">
      <alignment horizontal="right" vertical="center" wrapText="1"/>
    </xf>
    <xf numFmtId="0" fontId="1" fillId="28" borderId="0" xfId="0" applyFont="1" applyFill="1" applyBorder="1"/>
    <xf numFmtId="169" fontId="4" fillId="28" borderId="0" xfId="2" applyNumberFormat="1" applyFont="1" applyFill="1" applyBorder="1" applyAlignment="1">
      <alignment horizontal="right" vertical="center" wrapText="1"/>
    </xf>
    <xf numFmtId="0" fontId="1" fillId="0" borderId="0" xfId="0" applyFont="1"/>
    <xf numFmtId="0" fontId="1" fillId="2" borderId="1" xfId="0" applyFont="1" applyFill="1" applyBorder="1" applyAlignment="1">
      <alignment horizontal="center" vertical="center"/>
    </xf>
    <xf numFmtId="0" fontId="1" fillId="0" borderId="1" xfId="0" applyFont="1" applyBorder="1"/>
    <xf numFmtId="0" fontId="1" fillId="2" borderId="2" xfId="0" applyFont="1" applyFill="1" applyBorder="1" applyAlignment="1">
      <alignment horizontal="center" vertical="center"/>
    </xf>
    <xf numFmtId="0" fontId="1" fillId="21" borderId="2" xfId="0" applyFont="1" applyFill="1" applyBorder="1" applyAlignment="1">
      <alignment horizontal="center" vertical="center"/>
    </xf>
    <xf numFmtId="0" fontId="1" fillId="21" borderId="1" xfId="0" applyFont="1" applyFill="1" applyBorder="1"/>
    <xf numFmtId="0" fontId="1" fillId="21" borderId="1" xfId="0" applyFont="1" applyFill="1" applyBorder="1" applyAlignment="1">
      <alignment vertical="center" wrapText="1"/>
    </xf>
    <xf numFmtId="0" fontId="1" fillId="21" borderId="1" xfId="0" applyFont="1" applyFill="1" applyBorder="1" applyAlignment="1">
      <alignment horizontal="center" vertical="center"/>
    </xf>
    <xf numFmtId="167" fontId="1" fillId="0" borderId="1" xfId="0" applyNumberFormat="1" applyFont="1" applyBorder="1" applyAlignment="1">
      <alignment horizontal="center" vertical="center"/>
    </xf>
    <xf numFmtId="0" fontId="1" fillId="2" borderId="1" xfId="0" applyFont="1" applyFill="1" applyBorder="1" applyAlignment="1">
      <alignment vertical="center" wrapText="1"/>
    </xf>
    <xf numFmtId="0" fontId="1" fillId="2" borderId="20" xfId="0" applyFont="1" applyFill="1" applyBorder="1" applyAlignment="1">
      <alignment horizontal="center" vertical="center"/>
    </xf>
    <xf numFmtId="0" fontId="4" fillId="21" borderId="1" xfId="0" applyFont="1" applyFill="1" applyBorder="1" applyAlignment="1">
      <alignment vertical="center" wrapText="1"/>
    </xf>
    <xf numFmtId="0" fontId="10" fillId="5" borderId="23" xfId="0" applyFont="1" applyFill="1" applyBorder="1" applyAlignment="1">
      <alignment vertical="center" wrapText="1"/>
    </xf>
    <xf numFmtId="0" fontId="10" fillId="6" borderId="1" xfId="0" applyFont="1" applyFill="1" applyBorder="1" applyAlignment="1">
      <alignment vertical="center" wrapText="1"/>
    </xf>
    <xf numFmtId="0" fontId="1" fillId="11" borderId="1" xfId="0" applyFont="1" applyFill="1" applyBorder="1" applyAlignment="1">
      <alignment vertical="center" wrapText="1"/>
    </xf>
    <xf numFmtId="0" fontId="1" fillId="4" borderId="1" xfId="0" applyFont="1" applyFill="1" applyBorder="1" applyAlignment="1">
      <alignment vertical="center" wrapText="1"/>
    </xf>
    <xf numFmtId="0" fontId="1" fillId="20" borderId="1" xfId="0" applyFont="1" applyFill="1" applyBorder="1" applyAlignment="1">
      <alignment vertical="center" wrapText="1"/>
    </xf>
    <xf numFmtId="0" fontId="1" fillId="0" borderId="1" xfId="0" applyFont="1" applyFill="1" applyBorder="1" applyAlignment="1">
      <alignment vertical="center" wrapText="1"/>
    </xf>
    <xf numFmtId="0" fontId="10" fillId="13" borderId="1" xfId="0" applyFont="1" applyFill="1" applyBorder="1" applyAlignment="1">
      <alignment vertical="center" wrapText="1"/>
    </xf>
    <xf numFmtId="0" fontId="10" fillId="12" borderId="1" xfId="0" applyFont="1" applyFill="1" applyBorder="1" applyAlignment="1">
      <alignment vertical="center" wrapText="1"/>
    </xf>
    <xf numFmtId="0" fontId="1" fillId="9" borderId="1" xfId="0" applyFont="1" applyFill="1" applyBorder="1" applyAlignment="1">
      <alignment vertical="center" wrapText="1"/>
    </xf>
    <xf numFmtId="0" fontId="10" fillId="15" borderId="1" xfId="0" applyFont="1" applyFill="1" applyBorder="1" applyAlignment="1">
      <alignment vertical="center" wrapText="1"/>
    </xf>
    <xf numFmtId="0" fontId="10" fillId="8" borderId="1" xfId="0" applyFont="1" applyFill="1" applyBorder="1" applyAlignment="1">
      <alignment vertical="center" wrapText="1"/>
    </xf>
    <xf numFmtId="0" fontId="10" fillId="18" borderId="1" xfId="0" applyFont="1" applyFill="1" applyBorder="1" applyAlignment="1">
      <alignment vertical="center" wrapText="1"/>
    </xf>
    <xf numFmtId="0" fontId="10" fillId="17" borderId="1" xfId="0" applyFont="1" applyFill="1" applyBorder="1" applyAlignment="1">
      <alignment vertical="center" wrapText="1"/>
    </xf>
    <xf numFmtId="0" fontId="1" fillId="16" borderId="1" xfId="0" applyFont="1" applyFill="1" applyBorder="1" applyAlignment="1">
      <alignment vertical="center" wrapText="1"/>
    </xf>
    <xf numFmtId="0" fontId="10" fillId="19" borderId="1" xfId="0" applyFont="1" applyFill="1" applyBorder="1" applyAlignment="1">
      <alignment vertical="center" wrapText="1"/>
    </xf>
    <xf numFmtId="0" fontId="1" fillId="14" borderId="1" xfId="0" applyFont="1" applyFill="1" applyBorder="1" applyAlignment="1">
      <alignment vertical="center" wrapText="1"/>
    </xf>
    <xf numFmtId="0" fontId="1" fillId="10" borderId="1" xfId="0" applyFont="1" applyFill="1" applyBorder="1" applyAlignment="1">
      <alignment vertical="center" wrapText="1"/>
    </xf>
    <xf numFmtId="167" fontId="1" fillId="21" borderId="1" xfId="0" applyNumberFormat="1" applyFont="1" applyFill="1" applyBorder="1"/>
    <xf numFmtId="167" fontId="1" fillId="0" borderId="1" xfId="0" applyNumberFormat="1" applyFont="1" applyBorder="1"/>
    <xf numFmtId="167" fontId="10" fillId="12" borderId="1" xfId="0" applyNumberFormat="1" applyFont="1" applyFill="1" applyBorder="1"/>
    <xf numFmtId="0" fontId="1" fillId="21" borderId="14" xfId="0" applyFont="1" applyFill="1" applyBorder="1" applyAlignment="1">
      <alignment horizontal="center" vertical="center"/>
    </xf>
    <xf numFmtId="0" fontId="1" fillId="21" borderId="0" xfId="0" applyFont="1" applyFill="1" applyBorder="1" applyAlignment="1">
      <alignment horizontal="center" vertical="center"/>
    </xf>
    <xf numFmtId="0" fontId="1" fillId="21" borderId="34" xfId="0" applyFont="1" applyFill="1" applyBorder="1" applyAlignment="1">
      <alignment vertical="center"/>
    </xf>
    <xf numFmtId="17" fontId="5" fillId="19" borderId="1" xfId="3" applyNumberFormat="1" applyFont="1" applyFill="1" applyBorder="1" applyAlignment="1">
      <alignment horizontal="center" vertical="center" wrapText="1"/>
    </xf>
    <xf numFmtId="0" fontId="1" fillId="21" borderId="1" xfId="0" applyFont="1" applyFill="1" applyBorder="1" applyAlignment="1">
      <alignment horizontal="center" wrapText="1"/>
    </xf>
    <xf numFmtId="0" fontId="1" fillId="0" borderId="0" xfId="0" applyFont="1"/>
    <xf numFmtId="0" fontId="1" fillId="2" borderId="1" xfId="0" applyFont="1" applyFill="1" applyBorder="1" applyAlignment="1">
      <alignment horizontal="center" vertical="center"/>
    </xf>
    <xf numFmtId="0" fontId="1" fillId="0" borderId="1" xfId="0" applyFont="1" applyBorder="1"/>
    <xf numFmtId="0" fontId="1" fillId="2" borderId="2" xfId="0" applyFont="1" applyFill="1" applyBorder="1" applyAlignment="1">
      <alignment horizontal="center" vertical="center"/>
    </xf>
    <xf numFmtId="0" fontId="1" fillId="9" borderId="2" xfId="0" applyFont="1" applyFill="1" applyBorder="1" applyAlignment="1">
      <alignment horizontal="center" vertical="center"/>
    </xf>
    <xf numFmtId="0" fontId="1" fillId="9" borderId="1" xfId="0" applyFont="1" applyFill="1" applyBorder="1" applyAlignment="1">
      <alignment horizontal="center" vertical="center"/>
    </xf>
    <xf numFmtId="0" fontId="1" fillId="9" borderId="1" xfId="0" applyFont="1" applyFill="1" applyBorder="1"/>
    <xf numFmtId="0" fontId="1" fillId="21" borderId="2" xfId="0" applyFont="1" applyFill="1" applyBorder="1" applyAlignment="1">
      <alignment horizontal="center" vertical="center"/>
    </xf>
    <xf numFmtId="0" fontId="1" fillId="21" borderId="1" xfId="0" applyFont="1" applyFill="1" applyBorder="1"/>
    <xf numFmtId="0" fontId="1" fillId="21" borderId="2" xfId="0" applyFont="1" applyFill="1" applyBorder="1" applyAlignment="1">
      <alignment horizontal="center" vertical="center" wrapText="1"/>
    </xf>
    <xf numFmtId="0" fontId="1" fillId="21" borderId="1" xfId="0" applyFont="1" applyFill="1" applyBorder="1" applyAlignment="1">
      <alignment vertical="center" wrapText="1"/>
    </xf>
    <xf numFmtId="0" fontId="1" fillId="0" borderId="1" xfId="0" applyFont="1" applyBorder="1" applyAlignment="1">
      <alignment horizontal="center" vertical="center"/>
    </xf>
    <xf numFmtId="0" fontId="1" fillId="21" borderId="1" xfId="0" applyFont="1" applyFill="1" applyBorder="1" applyAlignment="1">
      <alignment horizontal="center" vertical="center"/>
    </xf>
    <xf numFmtId="0" fontId="1" fillId="2" borderId="20" xfId="0" applyFont="1" applyFill="1" applyBorder="1" applyAlignment="1">
      <alignment horizontal="center" vertical="center"/>
    </xf>
    <xf numFmtId="0" fontId="1" fillId="9" borderId="20" xfId="0" applyFont="1" applyFill="1" applyBorder="1" applyAlignment="1">
      <alignment horizontal="center" vertical="center"/>
    </xf>
    <xf numFmtId="0" fontId="1" fillId="21" borderId="14" xfId="0" applyFont="1" applyFill="1" applyBorder="1" applyAlignment="1">
      <alignment horizontal="center" vertical="center"/>
    </xf>
    <xf numFmtId="0" fontId="1" fillId="21" borderId="0" xfId="0" applyFont="1" applyFill="1" applyBorder="1" applyAlignment="1">
      <alignment horizontal="center" vertical="center"/>
    </xf>
    <xf numFmtId="0" fontId="1" fillId="21" borderId="12" xfId="0" applyFont="1" applyFill="1" applyBorder="1" applyAlignment="1">
      <alignment horizontal="center" vertical="center"/>
    </xf>
    <xf numFmtId="0" fontId="1" fillId="21" borderId="13" xfId="0" applyFont="1" applyFill="1" applyBorder="1" applyAlignment="1">
      <alignment horizontal="center" vertical="center"/>
    </xf>
    <xf numFmtId="0" fontId="1" fillId="0" borderId="1" xfId="0" applyFont="1" applyFill="1" applyBorder="1" applyAlignment="1">
      <alignment vertical="center" wrapText="1"/>
    </xf>
    <xf numFmtId="0" fontId="1" fillId="9" borderId="1" xfId="0" applyFont="1" applyFill="1" applyBorder="1" applyAlignment="1">
      <alignment vertical="center" wrapText="1"/>
    </xf>
    <xf numFmtId="167" fontId="1" fillId="0" borderId="1" xfId="0" applyNumberFormat="1" applyFont="1" applyBorder="1"/>
    <xf numFmtId="0" fontId="1" fillId="21" borderId="15" xfId="0" applyFont="1" applyFill="1" applyBorder="1" applyAlignment="1">
      <alignment horizontal="center" vertical="center"/>
    </xf>
    <xf numFmtId="0" fontId="1" fillId="21" borderId="16" xfId="0" applyFont="1" applyFill="1" applyBorder="1" applyAlignment="1">
      <alignment horizontal="center" vertical="center"/>
    </xf>
    <xf numFmtId="167" fontId="9" fillId="13" borderId="1" xfId="0" applyNumberFormat="1" applyFont="1" applyFill="1" applyBorder="1"/>
    <xf numFmtId="0" fontId="3" fillId="7" borderId="1" xfId="0" applyFont="1" applyFill="1" applyBorder="1" applyAlignment="1">
      <alignment vertical="center" wrapText="1"/>
    </xf>
    <xf numFmtId="168" fontId="12" fillId="7" borderId="1" xfId="2" applyNumberFormat="1" applyFont="1" applyFill="1" applyBorder="1" applyAlignment="1">
      <alignment horizontal="center" vertical="center" wrapText="1"/>
    </xf>
    <xf numFmtId="167" fontId="12" fillId="7" borderId="1" xfId="2" applyNumberFormat="1" applyFont="1" applyFill="1" applyBorder="1" applyAlignment="1">
      <alignment horizontal="center" vertical="center" wrapText="1"/>
    </xf>
    <xf numFmtId="167" fontId="12" fillId="7" borderId="1" xfId="2" applyNumberFormat="1" applyFont="1" applyFill="1" applyBorder="1" applyAlignment="1">
      <alignment horizontal="right" vertical="center" wrapText="1"/>
    </xf>
    <xf numFmtId="0" fontId="3" fillId="7" borderId="1" xfId="0" applyFont="1" applyFill="1" applyBorder="1" applyAlignment="1">
      <alignment horizontal="center" vertical="center"/>
    </xf>
    <xf numFmtId="0" fontId="3" fillId="7" borderId="1" xfId="0" applyFont="1" applyFill="1" applyBorder="1"/>
    <xf numFmtId="167" fontId="3" fillId="7" borderId="1" xfId="0" applyNumberFormat="1" applyFont="1" applyFill="1" applyBorder="1" applyAlignment="1">
      <alignment horizontal="center" vertical="center"/>
    </xf>
    <xf numFmtId="167" fontId="12" fillId="14" borderId="1" xfId="2" applyNumberFormat="1" applyFont="1" applyFill="1" applyBorder="1" applyAlignment="1">
      <alignment horizontal="right" vertical="center" wrapText="1"/>
    </xf>
    <xf numFmtId="0" fontId="3" fillId="14" borderId="1" xfId="0" applyFont="1" applyFill="1" applyBorder="1" applyAlignment="1">
      <alignment horizontal="center" vertical="center"/>
    </xf>
    <xf numFmtId="0" fontId="3" fillId="14" borderId="1" xfId="0" applyFont="1" applyFill="1" applyBorder="1"/>
    <xf numFmtId="167" fontId="12" fillId="10" borderId="1" xfId="2" applyNumberFormat="1" applyFont="1" applyFill="1" applyBorder="1" applyAlignment="1">
      <alignment horizontal="right" vertical="center" wrapText="1"/>
    </xf>
    <xf numFmtId="0" fontId="3" fillId="10" borderId="1" xfId="0" applyFont="1" applyFill="1" applyBorder="1" applyAlignment="1">
      <alignment horizontal="center" vertical="center"/>
    </xf>
    <xf numFmtId="0" fontId="3" fillId="10" borderId="1" xfId="0" applyFont="1" applyFill="1" applyBorder="1"/>
    <xf numFmtId="167" fontId="12" fillId="4" borderId="1" xfId="2" applyNumberFormat="1" applyFont="1" applyFill="1" applyBorder="1" applyAlignment="1">
      <alignment horizontal="right" vertical="center" wrapText="1"/>
    </xf>
    <xf numFmtId="0" fontId="3" fillId="4" borderId="1" xfId="0" applyFont="1" applyFill="1" applyBorder="1" applyAlignment="1">
      <alignment horizontal="center" vertical="center"/>
    </xf>
    <xf numFmtId="0" fontId="3" fillId="4" borderId="1" xfId="0" applyFont="1" applyFill="1" applyBorder="1"/>
    <xf numFmtId="167" fontId="10" fillId="5" borderId="1" xfId="2" applyNumberFormat="1" applyFont="1" applyFill="1" applyBorder="1" applyAlignment="1">
      <alignment horizontal="right" vertical="center" wrapText="1"/>
    </xf>
    <xf numFmtId="0" fontId="3" fillId="5" borderId="1" xfId="0" applyFont="1" applyFill="1" applyBorder="1" applyAlignment="1">
      <alignment horizontal="center" vertical="center"/>
    </xf>
    <xf numFmtId="166" fontId="3" fillId="29" borderId="1" xfId="4" applyFont="1" applyFill="1" applyBorder="1" applyAlignment="1">
      <alignment horizontal="right" vertical="center"/>
    </xf>
    <xf numFmtId="166" fontId="3" fillId="29" borderId="1" xfId="4" applyFont="1" applyFill="1" applyBorder="1" applyAlignment="1">
      <alignment vertical="center"/>
    </xf>
    <xf numFmtId="166" fontId="1" fillId="29" borderId="1" xfId="4" applyFont="1" applyFill="1" applyBorder="1" applyAlignment="1">
      <alignment horizontal="right" vertical="center"/>
    </xf>
    <xf numFmtId="166" fontId="1" fillId="29" borderId="1" xfId="4" applyFont="1" applyFill="1" applyBorder="1" applyAlignment="1">
      <alignment vertical="center"/>
    </xf>
    <xf numFmtId="166" fontId="1" fillId="29" borderId="1" xfId="4" applyFont="1" applyFill="1" applyBorder="1"/>
    <xf numFmtId="164" fontId="0" fillId="0" borderId="0" xfId="9" applyFont="1"/>
    <xf numFmtId="0" fontId="1" fillId="30" borderId="8" xfId="0" applyFont="1" applyFill="1" applyBorder="1" applyAlignment="1">
      <alignment horizontal="center" vertical="center"/>
    </xf>
    <xf numFmtId="0" fontId="1" fillId="30" borderId="8" xfId="0" applyFont="1" applyFill="1" applyBorder="1"/>
    <xf numFmtId="167" fontId="1" fillId="30" borderId="9" xfId="0" applyNumberFormat="1" applyFont="1" applyFill="1" applyBorder="1" applyAlignment="1">
      <alignment vertical="center"/>
    </xf>
    <xf numFmtId="0" fontId="1" fillId="21" borderId="12" xfId="0" applyFont="1" applyFill="1" applyBorder="1" applyAlignment="1">
      <alignment horizontal="center" vertical="center"/>
    </xf>
    <xf numFmtId="0" fontId="1" fillId="21" borderId="13" xfId="0" applyFont="1" applyFill="1" applyBorder="1" applyAlignment="1">
      <alignment horizontal="center" vertical="center"/>
    </xf>
    <xf numFmtId="167" fontId="4" fillId="21" borderId="1" xfId="0" applyNumberFormat="1" applyFont="1" applyFill="1" applyBorder="1"/>
    <xf numFmtId="0" fontId="1" fillId="9" borderId="2" xfId="0" applyFont="1" applyFill="1" applyBorder="1" applyAlignment="1">
      <alignment horizontal="left" vertical="center" wrapText="1"/>
    </xf>
    <xf numFmtId="0" fontId="1" fillId="21" borderId="12" xfId="0" applyFont="1" applyFill="1" applyBorder="1" applyAlignment="1">
      <alignment horizontal="center" vertical="center"/>
    </xf>
    <xf numFmtId="0" fontId="1" fillId="21" borderId="13" xfId="0" applyFont="1" applyFill="1" applyBorder="1" applyAlignment="1">
      <alignment horizontal="center" vertical="center"/>
    </xf>
    <xf numFmtId="166" fontId="1" fillId="2" borderId="1" xfId="4" applyFont="1" applyFill="1" applyBorder="1"/>
    <xf numFmtId="166" fontId="1" fillId="2" borderId="1" xfId="4" applyFont="1" applyFill="1" applyBorder="1" applyAlignment="1">
      <alignment vertical="center"/>
    </xf>
    <xf numFmtId="166" fontId="1" fillId="21" borderId="1" xfId="4" applyFont="1" applyFill="1" applyBorder="1" applyAlignment="1">
      <alignment horizontal="right" vertical="center"/>
    </xf>
    <xf numFmtId="166" fontId="1" fillId="21" borderId="1" xfId="4" applyFont="1" applyFill="1" applyBorder="1"/>
    <xf numFmtId="169" fontId="4" fillId="21" borderId="1" xfId="2" applyNumberFormat="1" applyFont="1" applyFill="1" applyBorder="1" applyAlignment="1">
      <alignment horizontal="right" vertical="center" wrapText="1"/>
    </xf>
    <xf numFmtId="0" fontId="1" fillId="21" borderId="2" xfId="0" applyFont="1" applyFill="1" applyBorder="1" applyAlignment="1">
      <alignment horizontal="left" vertical="center"/>
    </xf>
    <xf numFmtId="0" fontId="1" fillId="21" borderId="2" xfId="0" applyFont="1" applyFill="1" applyBorder="1" applyAlignment="1">
      <alignment horizontal="left" vertical="center" wrapText="1"/>
    </xf>
    <xf numFmtId="0" fontId="1" fillId="21" borderId="26" xfId="0" applyFont="1" applyFill="1" applyBorder="1" applyAlignment="1">
      <alignment vertical="center" wrapText="1"/>
    </xf>
    <xf numFmtId="0" fontId="1" fillId="21" borderId="12" xfId="0" applyFont="1" applyFill="1" applyBorder="1" applyAlignment="1">
      <alignment horizontal="center" vertical="center"/>
    </xf>
    <xf numFmtId="0" fontId="1" fillId="21" borderId="13" xfId="0" applyFont="1" applyFill="1" applyBorder="1" applyAlignment="1">
      <alignment horizontal="center" vertical="center"/>
    </xf>
    <xf numFmtId="0" fontId="1" fillId="21" borderId="12" xfId="0" applyFont="1" applyFill="1" applyBorder="1" applyAlignment="1">
      <alignment horizontal="center" vertical="center"/>
    </xf>
    <xf numFmtId="0" fontId="1" fillId="21" borderId="13" xfId="0" applyFont="1" applyFill="1" applyBorder="1" applyAlignment="1">
      <alignment horizontal="center" vertical="center"/>
    </xf>
    <xf numFmtId="0" fontId="1" fillId="21" borderId="1" xfId="0" applyFont="1" applyFill="1" applyBorder="1" applyAlignment="1">
      <alignment horizontal="center" vertical="center" wrapText="1"/>
    </xf>
    <xf numFmtId="0" fontId="1" fillId="21" borderId="12" xfId="0" applyFont="1" applyFill="1" applyBorder="1" applyAlignment="1">
      <alignment horizontal="center" vertical="center"/>
    </xf>
    <xf numFmtId="0" fontId="1" fillId="21" borderId="13" xfId="0" applyFont="1" applyFill="1" applyBorder="1" applyAlignment="1">
      <alignment horizontal="center" vertical="center"/>
    </xf>
    <xf numFmtId="0" fontId="1" fillId="2" borderId="1" xfId="0" quotePrefix="1" applyFont="1" applyFill="1" applyBorder="1" applyAlignment="1">
      <alignment horizontal="center" vertical="center"/>
    </xf>
    <xf numFmtId="0" fontId="1" fillId="30" borderId="7" xfId="0" applyFont="1" applyFill="1" applyBorder="1" applyAlignment="1">
      <alignment horizontal="center" vertical="center" wrapText="1"/>
    </xf>
    <xf numFmtId="0" fontId="1" fillId="30" borderId="8" xfId="0" applyFont="1" applyFill="1" applyBorder="1" applyAlignment="1">
      <alignment horizontal="center" vertical="center" wrapText="1"/>
    </xf>
    <xf numFmtId="0" fontId="1" fillId="0" borderId="0" xfId="0" applyFont="1" applyAlignment="1">
      <alignment horizontal="center" wrapText="1"/>
    </xf>
    <xf numFmtId="0" fontId="1" fillId="21" borderId="15" xfId="0" applyFont="1" applyFill="1" applyBorder="1" applyAlignment="1">
      <alignment horizontal="center" vertical="center"/>
    </xf>
    <xf numFmtId="0" fontId="1" fillId="21" borderId="16" xfId="0" applyFont="1" applyFill="1" applyBorder="1" applyAlignment="1">
      <alignment horizontal="center" vertical="center"/>
    </xf>
    <xf numFmtId="0" fontId="1" fillId="9" borderId="1" xfId="0" quotePrefix="1" applyFont="1" applyFill="1" applyBorder="1" applyAlignment="1">
      <alignment horizontal="center" vertical="center"/>
    </xf>
    <xf numFmtId="0" fontId="1" fillId="20" borderId="1" xfId="0" quotePrefix="1" applyFont="1" applyFill="1" applyBorder="1" applyAlignment="1">
      <alignment horizontal="center" vertical="center"/>
    </xf>
    <xf numFmtId="167" fontId="1" fillId="16" borderId="1" xfId="0" applyNumberFormat="1" applyFont="1" applyFill="1" applyBorder="1"/>
    <xf numFmtId="0" fontId="10" fillId="17" borderId="1" xfId="0" quotePrefix="1" applyFont="1" applyFill="1" applyBorder="1" applyAlignment="1">
      <alignment horizontal="center" vertical="center"/>
    </xf>
    <xf numFmtId="0" fontId="1" fillId="16" borderId="1" xfId="0" quotePrefix="1" applyFont="1" applyFill="1" applyBorder="1" applyAlignment="1">
      <alignment horizontal="center" vertical="center"/>
    </xf>
    <xf numFmtId="166" fontId="1" fillId="0" borderId="1" xfId="4" applyFont="1" applyBorder="1"/>
    <xf numFmtId="0" fontId="3" fillId="0" borderId="1" xfId="0" applyFont="1" applyBorder="1"/>
    <xf numFmtId="166" fontId="3" fillId="0" borderId="1" xfId="4" applyFont="1" applyBorder="1"/>
    <xf numFmtId="0" fontId="1" fillId="0" borderId="1" xfId="0" applyFont="1" applyBorder="1" applyAlignment="1">
      <alignment horizontal="center"/>
    </xf>
    <xf numFmtId="166" fontId="1" fillId="26" borderId="1" xfId="0" applyNumberFormat="1" applyFont="1" applyFill="1" applyBorder="1"/>
    <xf numFmtId="0" fontId="1" fillId="21" borderId="1" xfId="0" applyFont="1" applyFill="1" applyBorder="1" applyAlignment="1">
      <alignment horizontal="left" vertical="center" wrapText="1"/>
    </xf>
    <xf numFmtId="0" fontId="1" fillId="21" borderId="1" xfId="0" applyFont="1" applyFill="1" applyBorder="1" applyAlignment="1">
      <alignment vertical="center"/>
    </xf>
    <xf numFmtId="0" fontId="1" fillId="21" borderId="12" xfId="0" applyFont="1" applyFill="1" applyBorder="1" applyAlignment="1">
      <alignment horizontal="center" vertical="center"/>
    </xf>
    <xf numFmtId="0" fontId="1" fillId="21" borderId="13" xfId="0" applyFont="1" applyFill="1" applyBorder="1" applyAlignment="1">
      <alignment horizontal="center" vertical="center"/>
    </xf>
    <xf numFmtId="167" fontId="10" fillId="5" borderId="23" xfId="0" applyNumberFormat="1" applyFont="1" applyFill="1" applyBorder="1" applyAlignment="1">
      <alignment vertical="center"/>
    </xf>
    <xf numFmtId="167" fontId="10" fillId="6" borderId="1" xfId="0" applyNumberFormat="1" applyFont="1" applyFill="1" applyBorder="1" applyAlignment="1">
      <alignment vertical="center"/>
    </xf>
    <xf numFmtId="0" fontId="1" fillId="11" borderId="1" xfId="0" applyFont="1" applyFill="1" applyBorder="1" applyAlignment="1">
      <alignment vertical="center"/>
    </xf>
    <xf numFmtId="0" fontId="1" fillId="4" borderId="1" xfId="0" applyFont="1" applyFill="1" applyBorder="1" applyAlignment="1">
      <alignment vertical="center"/>
    </xf>
    <xf numFmtId="0" fontId="1" fillId="20" borderId="1" xfId="0" applyFont="1" applyFill="1" applyBorder="1" applyAlignment="1">
      <alignment vertical="center"/>
    </xf>
    <xf numFmtId="0" fontId="1" fillId="2" borderId="1" xfId="0" applyFont="1" applyFill="1" applyBorder="1" applyAlignment="1">
      <alignment vertical="center"/>
    </xf>
    <xf numFmtId="0" fontId="1" fillId="0" borderId="1" xfId="0" applyFont="1" applyBorder="1" applyAlignment="1">
      <alignment vertical="center"/>
    </xf>
    <xf numFmtId="167" fontId="1" fillId="11" borderId="1" xfId="0" applyNumberFormat="1" applyFont="1" applyFill="1" applyBorder="1" applyAlignment="1">
      <alignment vertical="center"/>
    </xf>
    <xf numFmtId="0" fontId="1" fillId="0" borderId="1" xfId="0" applyFont="1" applyFill="1" applyBorder="1" applyAlignment="1">
      <alignment vertical="center"/>
    </xf>
    <xf numFmtId="167" fontId="9" fillId="13" borderId="1" xfId="0" applyNumberFormat="1" applyFont="1" applyFill="1" applyBorder="1" applyAlignment="1">
      <alignment vertical="center"/>
    </xf>
    <xf numFmtId="0" fontId="10" fillId="12" borderId="1" xfId="0" applyFont="1" applyFill="1" applyBorder="1" applyAlignment="1">
      <alignment vertical="center"/>
    </xf>
    <xf numFmtId="167" fontId="3" fillId="7" borderId="1" xfId="0" applyNumberFormat="1" applyFont="1" applyFill="1" applyBorder="1" applyAlignment="1">
      <alignment vertical="center"/>
    </xf>
    <xf numFmtId="0" fontId="1" fillId="9" borderId="1" xfId="0" applyFont="1" applyFill="1" applyBorder="1" applyAlignment="1">
      <alignment vertical="center"/>
    </xf>
    <xf numFmtId="0" fontId="10" fillId="15" borderId="1" xfId="0" applyFont="1" applyFill="1" applyBorder="1" applyAlignment="1">
      <alignment vertical="center"/>
    </xf>
    <xf numFmtId="0" fontId="10" fillId="8" borderId="1" xfId="0" applyFont="1" applyFill="1" applyBorder="1" applyAlignment="1">
      <alignment vertical="center"/>
    </xf>
    <xf numFmtId="0" fontId="4" fillId="21" borderId="1" xfId="0" applyFont="1" applyFill="1" applyBorder="1" applyAlignment="1">
      <alignment vertical="center"/>
    </xf>
    <xf numFmtId="0" fontId="10" fillId="18" borderId="1" xfId="0" applyFont="1" applyFill="1" applyBorder="1" applyAlignment="1">
      <alignment vertical="center"/>
    </xf>
    <xf numFmtId="0" fontId="10" fillId="17" borderId="1" xfId="0" applyFont="1" applyFill="1" applyBorder="1" applyAlignment="1">
      <alignment vertical="center"/>
    </xf>
    <xf numFmtId="0" fontId="1" fillId="16" borderId="1" xfId="0" applyFont="1" applyFill="1" applyBorder="1" applyAlignment="1">
      <alignment vertical="center"/>
    </xf>
    <xf numFmtId="0" fontId="10" fillId="19" borderId="1" xfId="0" applyFont="1" applyFill="1" applyBorder="1" applyAlignment="1">
      <alignment vertical="center"/>
    </xf>
    <xf numFmtId="0" fontId="3" fillId="14" borderId="1" xfId="0" applyFont="1" applyFill="1" applyBorder="1" applyAlignment="1">
      <alignment vertical="center"/>
    </xf>
    <xf numFmtId="0" fontId="3" fillId="10" borderId="1" xfId="0" applyFont="1" applyFill="1" applyBorder="1" applyAlignment="1">
      <alignment vertical="center"/>
    </xf>
    <xf numFmtId="0" fontId="3" fillId="4" borderId="1" xfId="0" applyFont="1" applyFill="1" applyBorder="1" applyAlignment="1">
      <alignment vertical="center"/>
    </xf>
    <xf numFmtId="0" fontId="3" fillId="5" borderId="1" xfId="0" applyFont="1" applyFill="1" applyBorder="1" applyAlignment="1">
      <alignment vertical="center"/>
    </xf>
    <xf numFmtId="0" fontId="1" fillId="5" borderId="1" xfId="0" applyFont="1" applyFill="1" applyBorder="1" applyAlignment="1">
      <alignment vertical="center"/>
    </xf>
    <xf numFmtId="0" fontId="1" fillId="21" borderId="12" xfId="0" applyFont="1" applyFill="1" applyBorder="1" applyAlignment="1">
      <alignment horizontal="center" vertical="center"/>
    </xf>
    <xf numFmtId="0" fontId="1" fillId="21" borderId="13" xfId="0" applyFont="1" applyFill="1" applyBorder="1" applyAlignment="1">
      <alignment horizontal="center" vertical="center"/>
    </xf>
    <xf numFmtId="168" fontId="4" fillId="21" borderId="1" xfId="2" applyNumberFormat="1" applyFont="1" applyFill="1" applyBorder="1" applyAlignment="1">
      <alignment horizontal="left" vertical="center" wrapText="1"/>
    </xf>
    <xf numFmtId="167" fontId="3" fillId="5" borderId="1" xfId="0" applyNumberFormat="1" applyFont="1" applyFill="1" applyBorder="1"/>
    <xf numFmtId="167" fontId="1" fillId="21" borderId="1" xfId="0" applyNumberFormat="1" applyFont="1" applyFill="1" applyBorder="1" applyAlignment="1">
      <alignment horizontal="center" vertical="center"/>
    </xf>
    <xf numFmtId="164" fontId="1" fillId="20" borderId="1" xfId="9" applyFont="1" applyFill="1" applyBorder="1"/>
    <xf numFmtId="44" fontId="1" fillId="20" borderId="1" xfId="0" applyNumberFormat="1" applyFont="1" applyFill="1" applyBorder="1" applyAlignment="1">
      <alignment vertical="center"/>
    </xf>
    <xf numFmtId="0" fontId="1" fillId="29" borderId="26" xfId="4" applyNumberFormat="1" applyFont="1" applyFill="1" applyBorder="1" applyAlignment="1">
      <alignment horizontal="right" vertical="center"/>
    </xf>
    <xf numFmtId="14" fontId="1" fillId="29" borderId="1" xfId="4" applyNumberFormat="1" applyFont="1" applyFill="1" applyBorder="1" applyAlignment="1">
      <alignment horizontal="right" vertical="center"/>
    </xf>
    <xf numFmtId="0" fontId="1" fillId="0" borderId="0" xfId="0" applyNumberFormat="1" applyFont="1"/>
    <xf numFmtId="0" fontId="5" fillId="19" borderId="1" xfId="3" applyNumberFormat="1" applyFont="1" applyFill="1" applyBorder="1" applyAlignment="1">
      <alignment horizontal="center" vertical="center" wrapText="1"/>
    </xf>
    <xf numFmtId="0" fontId="3" fillId="29" borderId="26" xfId="4" applyNumberFormat="1" applyFont="1" applyFill="1" applyBorder="1" applyAlignment="1">
      <alignment horizontal="right" vertical="center"/>
    </xf>
    <xf numFmtId="0" fontId="1" fillId="2" borderId="26" xfId="4" applyNumberFormat="1" applyFont="1" applyFill="1" applyBorder="1" applyAlignment="1">
      <alignment horizontal="right" vertical="center"/>
    </xf>
    <xf numFmtId="0" fontId="1" fillId="21" borderId="26" xfId="4" applyNumberFormat="1" applyFont="1" applyFill="1" applyBorder="1" applyAlignment="1">
      <alignment horizontal="right" vertical="center"/>
    </xf>
    <xf numFmtId="14" fontId="1" fillId="0" borderId="0" xfId="0" applyNumberFormat="1" applyFont="1"/>
    <xf numFmtId="14" fontId="5" fillId="19" borderId="1" xfId="3" applyNumberFormat="1" applyFont="1" applyFill="1" applyBorder="1" applyAlignment="1">
      <alignment horizontal="center" vertical="center" wrapText="1"/>
    </xf>
    <xf numFmtId="14" fontId="3" fillId="29" borderId="1" xfId="4" applyNumberFormat="1" applyFont="1" applyFill="1" applyBorder="1" applyAlignment="1">
      <alignment horizontal="right" vertical="center"/>
    </xf>
    <xf numFmtId="14" fontId="1" fillId="2" borderId="1" xfId="4" applyNumberFormat="1" applyFont="1" applyFill="1" applyBorder="1" applyAlignment="1">
      <alignment horizontal="right" vertical="center"/>
    </xf>
    <xf numFmtId="14" fontId="1" fillId="21" borderId="1" xfId="4" applyNumberFormat="1" applyFont="1" applyFill="1" applyBorder="1" applyAlignment="1">
      <alignment horizontal="right" vertical="center"/>
    </xf>
    <xf numFmtId="166" fontId="1" fillId="29" borderId="1" xfId="4" applyFont="1" applyFill="1" applyBorder="1" applyAlignment="1">
      <alignment horizontal="center"/>
    </xf>
    <xf numFmtId="14" fontId="1" fillId="29" borderId="1" xfId="4" applyNumberFormat="1" applyFont="1" applyFill="1" applyBorder="1" applyAlignment="1">
      <alignment horizontal="center"/>
    </xf>
    <xf numFmtId="49" fontId="16" fillId="0" borderId="38" xfId="0" applyNumberFormat="1" applyFont="1" applyBorder="1" applyAlignment="1"/>
    <xf numFmtId="14" fontId="0" fillId="0" borderId="0" xfId="0" applyNumberFormat="1"/>
    <xf numFmtId="166" fontId="0" fillId="29" borderId="1" xfId="4" applyFont="1" applyFill="1" applyBorder="1" applyAlignment="1">
      <alignment vertical="center"/>
    </xf>
    <xf numFmtId="170" fontId="3" fillId="29" borderId="1" xfId="4" applyNumberFormat="1" applyFont="1" applyFill="1" applyBorder="1" applyAlignment="1">
      <alignment vertical="center"/>
    </xf>
    <xf numFmtId="169" fontId="4" fillId="31" borderId="1" xfId="2" applyNumberFormat="1" applyFont="1" applyFill="1" applyBorder="1" applyAlignment="1">
      <alignment horizontal="right" vertical="center" wrapText="1"/>
    </xf>
    <xf numFmtId="169" fontId="1" fillId="21" borderId="1" xfId="0" applyNumberFormat="1" applyFont="1" applyFill="1" applyBorder="1" applyAlignment="1">
      <alignment horizontal="center" vertical="center"/>
    </xf>
    <xf numFmtId="0" fontId="1" fillId="26" borderId="1" xfId="0" applyFont="1" applyFill="1" applyBorder="1" applyAlignment="1">
      <alignment vertical="center" wrapText="1"/>
    </xf>
    <xf numFmtId="0" fontId="1" fillId="21" borderId="14" xfId="0" applyFont="1" applyFill="1" applyBorder="1" applyAlignment="1">
      <alignment horizontal="center" vertical="center"/>
    </xf>
    <xf numFmtId="0" fontId="1" fillId="21" borderId="0" xfId="0" applyFont="1" applyFill="1" applyBorder="1" applyAlignment="1">
      <alignment horizontal="center" vertical="center"/>
    </xf>
    <xf numFmtId="0" fontId="1" fillId="21" borderId="14" xfId="0" applyFont="1" applyFill="1" applyBorder="1" applyAlignment="1">
      <alignment horizontal="center" vertical="center"/>
    </xf>
    <xf numFmtId="0" fontId="1" fillId="21" borderId="0" xfId="0" applyFont="1" applyFill="1" applyBorder="1" applyAlignment="1">
      <alignment horizontal="center" vertical="center"/>
    </xf>
    <xf numFmtId="167" fontId="1" fillId="29" borderId="26" xfId="4" applyNumberFormat="1" applyFont="1" applyFill="1" applyBorder="1" applyAlignment="1">
      <alignment horizontal="right" vertical="center"/>
    </xf>
    <xf numFmtId="169" fontId="1" fillId="21" borderId="1" xfId="0" applyNumberFormat="1" applyFont="1" applyFill="1" applyBorder="1"/>
    <xf numFmtId="0" fontId="1" fillId="29" borderId="26" xfId="4" applyNumberFormat="1" applyFont="1" applyFill="1" applyBorder="1" applyAlignment="1">
      <alignment horizontal="center" vertical="center"/>
    </xf>
    <xf numFmtId="0" fontId="1" fillId="29" borderId="26" xfId="4" applyNumberFormat="1" applyFont="1" applyFill="1" applyBorder="1" applyAlignment="1">
      <alignment horizontal="right"/>
    </xf>
    <xf numFmtId="0" fontId="1" fillId="21" borderId="15" xfId="0" applyFont="1" applyFill="1" applyBorder="1" applyAlignment="1">
      <alignment horizontal="center" vertical="center"/>
    </xf>
    <xf numFmtId="0" fontId="1" fillId="21" borderId="16" xfId="0" applyFont="1" applyFill="1" applyBorder="1" applyAlignment="1">
      <alignment horizontal="center" vertical="center"/>
    </xf>
    <xf numFmtId="164" fontId="1" fillId="29" borderId="26" xfId="9" applyFont="1" applyFill="1" applyBorder="1" applyAlignment="1">
      <alignment horizontal="right" vertical="center"/>
    </xf>
    <xf numFmtId="44" fontId="1" fillId="29" borderId="26" xfId="4" applyNumberFormat="1" applyFont="1" applyFill="1" applyBorder="1" applyAlignment="1">
      <alignment horizontal="right" vertical="center"/>
    </xf>
    <xf numFmtId="171" fontId="1" fillId="29" borderId="26" xfId="4" applyNumberFormat="1" applyFont="1" applyFill="1" applyBorder="1" applyAlignment="1">
      <alignment horizontal="right" vertical="center"/>
    </xf>
    <xf numFmtId="172" fontId="1" fillId="29" borderId="26" xfId="4" applyNumberFormat="1" applyFont="1" applyFill="1" applyBorder="1" applyAlignment="1">
      <alignment horizontal="right" vertical="center"/>
    </xf>
    <xf numFmtId="0" fontId="1" fillId="31" borderId="26" xfId="4" applyNumberFormat="1" applyFont="1" applyFill="1" applyBorder="1" applyAlignment="1">
      <alignment horizontal="right" vertical="center"/>
    </xf>
    <xf numFmtId="173" fontId="1" fillId="2" borderId="1" xfId="4" applyNumberFormat="1" applyFont="1" applyFill="1" applyBorder="1" applyAlignment="1">
      <alignment vertical="center"/>
    </xf>
    <xf numFmtId="169" fontId="4" fillId="25" borderId="11" xfId="2" applyNumberFormat="1" applyFont="1" applyFill="1" applyBorder="1" applyAlignment="1">
      <alignment horizontal="center" vertical="center" wrapText="1"/>
    </xf>
    <xf numFmtId="169" fontId="4" fillId="25" borderId="32" xfId="2" applyNumberFormat="1" applyFont="1" applyFill="1" applyBorder="1" applyAlignment="1">
      <alignment horizontal="center" vertical="center" wrapText="1"/>
    </xf>
    <xf numFmtId="169" fontId="4" fillId="25" borderId="6" xfId="2" applyNumberFormat="1" applyFont="1" applyFill="1" applyBorder="1" applyAlignment="1">
      <alignment horizontal="center" vertical="center" wrapText="1"/>
    </xf>
    <xf numFmtId="169" fontId="4" fillId="25" borderId="11" xfId="4" applyNumberFormat="1" applyFont="1" applyFill="1" applyBorder="1" applyAlignment="1">
      <alignment horizontal="center" vertical="center" wrapText="1"/>
    </xf>
    <xf numFmtId="169" fontId="4" fillId="25" borderId="32" xfId="4" applyNumberFormat="1" applyFont="1" applyFill="1" applyBorder="1" applyAlignment="1">
      <alignment horizontal="center" vertical="center" wrapText="1"/>
    </xf>
    <xf numFmtId="169" fontId="4" fillId="25" borderId="6" xfId="4" applyNumberFormat="1" applyFont="1" applyFill="1" applyBorder="1" applyAlignment="1">
      <alignment horizontal="center" vertical="center" wrapText="1"/>
    </xf>
    <xf numFmtId="0" fontId="4" fillId="25" borderId="10" xfId="2" applyNumberFormat="1" applyFont="1" applyFill="1" applyBorder="1" applyAlignment="1">
      <alignment horizontal="center" vertical="center" wrapText="1"/>
    </xf>
    <xf numFmtId="0" fontId="4" fillId="25" borderId="31" xfId="2" applyNumberFormat="1" applyFont="1" applyFill="1" applyBorder="1" applyAlignment="1">
      <alignment horizontal="center" vertical="center" wrapText="1"/>
    </xf>
    <xf numFmtId="0" fontId="4" fillId="25" borderId="5" xfId="2" applyNumberFormat="1" applyFont="1" applyFill="1" applyBorder="1" applyAlignment="1">
      <alignment horizontal="center" vertical="center" wrapText="1"/>
    </xf>
    <xf numFmtId="14" fontId="4" fillId="25" borderId="11" xfId="2" applyNumberFormat="1" applyFont="1" applyFill="1" applyBorder="1" applyAlignment="1">
      <alignment horizontal="center" vertical="center" wrapText="1"/>
    </xf>
    <xf numFmtId="14" fontId="4" fillId="25" borderId="32" xfId="2" applyNumberFormat="1" applyFont="1" applyFill="1" applyBorder="1" applyAlignment="1">
      <alignment horizontal="center" vertical="center" wrapText="1"/>
    </xf>
    <xf numFmtId="14" fontId="4" fillId="25" borderId="6" xfId="2" applyNumberFormat="1" applyFont="1" applyFill="1" applyBorder="1" applyAlignment="1">
      <alignment horizontal="center" vertical="center" wrapText="1"/>
    </xf>
    <xf numFmtId="167" fontId="4" fillId="25" borderId="11" xfId="2" applyNumberFormat="1" applyFont="1" applyFill="1" applyBorder="1" applyAlignment="1">
      <alignment horizontal="center" vertical="center" wrapText="1"/>
    </xf>
    <xf numFmtId="167" fontId="4" fillId="25" borderId="32" xfId="2" applyNumberFormat="1" applyFont="1" applyFill="1" applyBorder="1" applyAlignment="1">
      <alignment horizontal="center" vertical="center" wrapText="1"/>
    </xf>
    <xf numFmtId="167" fontId="4" fillId="25" borderId="6" xfId="2" applyNumberFormat="1" applyFont="1" applyFill="1" applyBorder="1" applyAlignment="1">
      <alignment horizontal="center" vertical="center" wrapText="1"/>
    </xf>
    <xf numFmtId="14" fontId="4" fillId="25" borderId="11" xfId="0" applyNumberFormat="1" applyFont="1" applyFill="1" applyBorder="1" applyAlignment="1">
      <alignment horizontal="center" vertical="center" wrapText="1"/>
    </xf>
    <xf numFmtId="14" fontId="4" fillId="25" borderId="32" xfId="0" applyNumberFormat="1" applyFont="1" applyFill="1" applyBorder="1" applyAlignment="1">
      <alignment horizontal="center" vertical="center" wrapText="1"/>
    </xf>
    <xf numFmtId="14" fontId="4" fillId="25" borderId="6" xfId="0" applyNumberFormat="1" applyFont="1" applyFill="1" applyBorder="1" applyAlignment="1">
      <alignment horizontal="center" vertical="center" wrapText="1"/>
    </xf>
    <xf numFmtId="166" fontId="4" fillId="25" borderId="11" xfId="4" applyFont="1" applyFill="1" applyBorder="1" applyAlignment="1">
      <alignment horizontal="center" vertical="center" wrapText="1"/>
    </xf>
    <xf numFmtId="166" fontId="4" fillId="25" borderId="32" xfId="4" applyFont="1" applyFill="1" applyBorder="1" applyAlignment="1">
      <alignment horizontal="center" vertical="center" wrapText="1"/>
    </xf>
    <xf numFmtId="166" fontId="4" fillId="25" borderId="6" xfId="4" applyFont="1" applyFill="1" applyBorder="1" applyAlignment="1">
      <alignment horizontal="center" vertical="center" wrapText="1"/>
    </xf>
    <xf numFmtId="167" fontId="4" fillId="25" borderId="11" xfId="2" applyNumberFormat="1" applyFont="1" applyFill="1" applyBorder="1" applyAlignment="1">
      <alignment horizontal="right" vertical="center" wrapText="1"/>
    </xf>
    <xf numFmtId="167" fontId="4" fillId="25" borderId="32" xfId="2" applyNumberFormat="1" applyFont="1" applyFill="1" applyBorder="1" applyAlignment="1">
      <alignment horizontal="right" vertical="center" wrapText="1"/>
    </xf>
    <xf numFmtId="167" fontId="4" fillId="25" borderId="6" xfId="2" applyNumberFormat="1" applyFont="1" applyFill="1" applyBorder="1" applyAlignment="1">
      <alignment horizontal="right" vertical="center" wrapText="1"/>
    </xf>
    <xf numFmtId="0" fontId="4" fillId="25" borderId="10" xfId="2" applyNumberFormat="1" applyFont="1" applyFill="1" applyBorder="1" applyAlignment="1">
      <alignment horizontal="center" vertical="center"/>
    </xf>
    <xf numFmtId="0" fontId="4" fillId="25" borderId="31" xfId="2" applyNumberFormat="1" applyFont="1" applyFill="1" applyBorder="1" applyAlignment="1">
      <alignment horizontal="center" vertical="center"/>
    </xf>
    <xf numFmtId="0" fontId="4" fillId="25" borderId="5" xfId="2" applyNumberFormat="1" applyFont="1" applyFill="1" applyBorder="1" applyAlignment="1">
      <alignment horizontal="center" vertical="center"/>
    </xf>
    <xf numFmtId="169" fontId="4" fillId="25" borderId="11" xfId="2" applyNumberFormat="1" applyFont="1" applyFill="1" applyBorder="1" applyAlignment="1">
      <alignment horizontal="right" vertical="center" wrapText="1"/>
    </xf>
    <xf numFmtId="169" fontId="4" fillId="25" borderId="32" xfId="2" applyNumberFormat="1" applyFont="1" applyFill="1" applyBorder="1" applyAlignment="1">
      <alignment horizontal="right" vertical="center" wrapText="1"/>
    </xf>
    <xf numFmtId="169" fontId="4" fillId="25" borderId="6" xfId="2" applyNumberFormat="1" applyFont="1" applyFill="1" applyBorder="1" applyAlignment="1">
      <alignment horizontal="right" vertical="center" wrapText="1"/>
    </xf>
    <xf numFmtId="0" fontId="1" fillId="21" borderId="12" xfId="0" applyFont="1" applyFill="1" applyBorder="1" applyAlignment="1">
      <alignment horizontal="center" vertical="center"/>
    </xf>
    <xf numFmtId="0" fontId="1" fillId="21" borderId="13" xfId="0" applyFont="1" applyFill="1" applyBorder="1" applyAlignment="1">
      <alignment horizontal="center" vertical="center"/>
    </xf>
    <xf numFmtId="0" fontId="1" fillId="21" borderId="14" xfId="0" applyFont="1" applyFill="1" applyBorder="1" applyAlignment="1">
      <alignment horizontal="center" vertical="center"/>
    </xf>
    <xf numFmtId="0" fontId="1" fillId="21" borderId="0" xfId="0" applyFont="1" applyFill="1" applyBorder="1" applyAlignment="1">
      <alignment horizontal="center" vertical="center"/>
    </xf>
    <xf numFmtId="0" fontId="1" fillId="0" borderId="0" xfId="0" applyFont="1" applyAlignment="1">
      <alignment horizontal="center" vertical="center"/>
    </xf>
    <xf numFmtId="0" fontId="1" fillId="21" borderId="17" xfId="0" applyFont="1" applyFill="1" applyBorder="1" applyAlignment="1">
      <alignment horizontal="center" vertical="center"/>
    </xf>
    <xf numFmtId="0" fontId="1" fillId="21" borderId="18" xfId="0" applyFont="1" applyFill="1" applyBorder="1" applyAlignment="1">
      <alignment horizontal="center" vertical="center"/>
    </xf>
    <xf numFmtId="0" fontId="10" fillId="21" borderId="12" xfId="0" applyFont="1" applyFill="1" applyBorder="1" applyAlignment="1">
      <alignment horizontal="center" vertical="center"/>
    </xf>
    <xf numFmtId="0" fontId="10" fillId="21" borderId="13" xfId="0" applyFont="1" applyFill="1" applyBorder="1" applyAlignment="1">
      <alignment horizontal="center" vertical="center"/>
    </xf>
    <xf numFmtId="0" fontId="1" fillId="21" borderId="15" xfId="0" applyFont="1" applyFill="1" applyBorder="1" applyAlignment="1">
      <alignment horizontal="center" vertical="center"/>
    </xf>
    <xf numFmtId="0" fontId="1" fillId="21" borderId="16" xfId="0" applyFont="1" applyFill="1" applyBorder="1" applyAlignment="1">
      <alignment horizontal="center" vertical="center"/>
    </xf>
    <xf numFmtId="0" fontId="1" fillId="21" borderId="28" xfId="0" applyFont="1" applyFill="1" applyBorder="1" applyAlignment="1">
      <alignment horizontal="center" vertical="center"/>
    </xf>
    <xf numFmtId="166" fontId="1" fillId="29" borderId="11" xfId="4" applyFont="1" applyFill="1" applyBorder="1" applyAlignment="1">
      <alignment horizontal="center" vertical="center"/>
    </xf>
    <xf numFmtId="166" fontId="1" fillId="29" borderId="6" xfId="4" applyFont="1" applyFill="1" applyBorder="1" applyAlignment="1">
      <alignment horizontal="center" vertical="center"/>
    </xf>
    <xf numFmtId="14" fontId="1" fillId="29" borderId="11" xfId="4" applyNumberFormat="1" applyFont="1" applyFill="1" applyBorder="1" applyAlignment="1">
      <alignment horizontal="center" vertical="center"/>
    </xf>
    <xf numFmtId="14" fontId="1" fillId="29" borderId="6" xfId="4" applyNumberFormat="1" applyFont="1" applyFill="1" applyBorder="1" applyAlignment="1">
      <alignment horizontal="center" vertical="center"/>
    </xf>
    <xf numFmtId="0" fontId="1" fillId="29" borderId="11" xfId="4" applyNumberFormat="1" applyFont="1" applyFill="1" applyBorder="1" applyAlignment="1">
      <alignment horizontal="center" vertical="center"/>
    </xf>
    <xf numFmtId="0" fontId="1" fillId="29" borderId="6" xfId="4" applyNumberFormat="1" applyFont="1" applyFill="1" applyBorder="1" applyAlignment="1">
      <alignment horizontal="center" vertical="center"/>
    </xf>
    <xf numFmtId="0" fontId="1" fillId="29" borderId="32" xfId="4" applyNumberFormat="1" applyFont="1" applyFill="1" applyBorder="1" applyAlignment="1">
      <alignment horizontal="center" vertical="center"/>
    </xf>
    <xf numFmtId="14" fontId="1" fillId="29" borderId="11" xfId="4" applyNumberFormat="1" applyFont="1" applyFill="1" applyBorder="1" applyAlignment="1">
      <alignment horizontal="right" vertical="center"/>
    </xf>
    <xf numFmtId="14" fontId="1" fillId="29" borderId="32" xfId="4" applyNumberFormat="1" applyFont="1" applyFill="1" applyBorder="1" applyAlignment="1">
      <alignment horizontal="right" vertical="center"/>
    </xf>
    <xf numFmtId="14" fontId="1" fillId="29" borderId="6" xfId="4" applyNumberFormat="1" applyFont="1" applyFill="1" applyBorder="1" applyAlignment="1">
      <alignment horizontal="right" vertical="center"/>
    </xf>
    <xf numFmtId="166" fontId="1" fillId="29" borderId="32" xfId="4" applyFont="1" applyFill="1" applyBorder="1" applyAlignment="1">
      <alignment horizontal="center" vertical="center"/>
    </xf>
    <xf numFmtId="0" fontId="1" fillId="21" borderId="33" xfId="0" applyFont="1" applyFill="1" applyBorder="1" applyAlignment="1">
      <alignment horizontal="center" vertical="center"/>
    </xf>
    <xf numFmtId="0" fontId="1" fillId="21" borderId="34" xfId="0" applyFont="1" applyFill="1" applyBorder="1" applyAlignment="1">
      <alignment horizontal="center" vertical="center"/>
    </xf>
    <xf numFmtId="0" fontId="1" fillId="21" borderId="35" xfId="0" applyFont="1" applyFill="1" applyBorder="1" applyAlignment="1">
      <alignment horizontal="center" vertical="center"/>
    </xf>
    <xf numFmtId="0" fontId="1" fillId="21" borderId="36" xfId="0" applyFont="1" applyFill="1" applyBorder="1" applyAlignment="1">
      <alignment horizontal="center" vertical="center"/>
    </xf>
    <xf numFmtId="0" fontId="1" fillId="21" borderId="37" xfId="0" applyFont="1" applyFill="1" applyBorder="1" applyAlignment="1">
      <alignment horizontal="center" vertical="center"/>
    </xf>
  </cellXfs>
  <cellStyles count="10">
    <cellStyle name="Énfasis1" xfId="3" builtinId="29"/>
    <cellStyle name="Millares" xfId="2" builtinId="3"/>
    <cellStyle name="Millares 2" xfId="5"/>
    <cellStyle name="Millares 2 2" xfId="7"/>
    <cellStyle name="Moneda" xfId="9" builtinId="4"/>
    <cellStyle name="Moneda [0]" xfId="4" builtinId="7"/>
    <cellStyle name="Moneda [0] 2" xfId="6"/>
    <cellStyle name="Moneda [0] 2 2" xfId="8"/>
    <cellStyle name="Normal" xfId="0" builtinId="0"/>
    <cellStyle name="Normal 2 2" xfId="1"/>
  </cellStyles>
  <dxfs count="0"/>
  <tableStyles count="0" defaultTableStyle="TableStyleMedium2" defaultPivotStyle="PivotStyleLight16"/>
  <colors>
    <mruColors>
      <color rgb="FFFFFF66"/>
      <color rgb="FF99FF99"/>
      <color rgb="FF00FF00"/>
      <color rgb="FFCCCCFF"/>
      <color rgb="FF66FF66"/>
      <color rgb="FF9966FF"/>
      <color rgb="FFCC99FF"/>
      <color rgb="FFFFFF00"/>
      <color rgb="FF6600FF"/>
      <color rgb="FF99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
    <pageSetUpPr fitToPage="1"/>
  </sheetPr>
  <dimension ref="A1:AH361"/>
  <sheetViews>
    <sheetView topLeftCell="A2" zoomScale="70" zoomScaleNormal="70" workbookViewId="0">
      <pane xSplit="12750" ySplit="2520" topLeftCell="W230" activePane="bottomRight"/>
      <selection activeCell="M1" sqref="M1"/>
      <selection pane="topRight" activeCell="AC2" sqref="AC1:AD1048576"/>
      <selection pane="bottomLeft" activeCell="A238" sqref="A238"/>
      <selection pane="bottomRight" activeCell="AA238" sqref="AA238:AD238"/>
    </sheetView>
  </sheetViews>
  <sheetFormatPr baseColWidth="10" defaultColWidth="11.5703125" defaultRowHeight="15" x14ac:dyDescent="0.2"/>
  <cols>
    <col min="1" max="1" width="3.85546875" style="1" customWidth="1"/>
    <col min="2" max="2" width="12.42578125" style="3" customWidth="1"/>
    <col min="3" max="3" width="9.85546875" style="3" customWidth="1"/>
    <col min="4" max="4" width="12.28515625" style="3" customWidth="1"/>
    <col min="5" max="6" width="8.5703125" style="3" customWidth="1"/>
    <col min="7" max="7" width="10.5703125" style="3" customWidth="1"/>
    <col min="8" max="8" width="6.7109375" style="3" customWidth="1"/>
    <col min="9" max="9" width="8.140625" style="3" customWidth="1"/>
    <col min="10" max="10" width="9" style="3" customWidth="1"/>
    <col min="11" max="11" width="16.42578125" style="3" customWidth="1"/>
    <col min="12" max="12" width="89.28515625" style="2" customWidth="1"/>
    <col min="13" max="13" width="0.28515625" style="2" customWidth="1"/>
    <col min="14" max="14" width="28.28515625" style="128" customWidth="1"/>
    <col min="15" max="15" width="23.140625" style="151" customWidth="1"/>
    <col min="16" max="16" width="22.5703125" style="151" customWidth="1"/>
    <col min="17" max="17" width="23.28515625" style="1" hidden="1" customWidth="1"/>
    <col min="18" max="18" width="22.42578125" style="1" customWidth="1"/>
    <col min="19" max="19" width="20.5703125" style="3" customWidth="1"/>
    <col min="20" max="20" width="21.7109375" style="1" customWidth="1"/>
    <col min="21" max="21" width="29" style="107" customWidth="1"/>
    <col min="22" max="22" width="17.7109375" style="295" customWidth="1"/>
    <col min="23" max="23" width="17.42578125" style="325" customWidth="1"/>
    <col min="24" max="24" width="28" style="1" customWidth="1"/>
    <col min="25" max="25" width="25.7109375" style="1" customWidth="1"/>
    <col min="26" max="26" width="23.42578125" style="1" bestFit="1" customWidth="1"/>
    <col min="27" max="27" width="28.140625" style="1" customWidth="1"/>
    <col min="28" max="28" width="21.42578125" style="1" bestFit="1" customWidth="1"/>
    <col min="29" max="29" width="29.140625" style="1" customWidth="1"/>
    <col min="30" max="30" width="23.42578125" style="1" bestFit="1" customWidth="1"/>
    <col min="31" max="32" width="11.5703125" style="1"/>
    <col min="33" max="33" width="20.7109375" style="1" customWidth="1"/>
    <col min="34" max="34" width="18.5703125" style="1" bestFit="1" customWidth="1"/>
    <col min="35" max="16384" width="11.5703125" style="1"/>
  </cols>
  <sheetData>
    <row r="1" spans="2:34" ht="15.6" customHeight="1" x14ac:dyDescent="0.2">
      <c r="B1" s="1"/>
      <c r="C1" s="1"/>
      <c r="D1" s="1"/>
      <c r="E1" s="1"/>
      <c r="F1" s="1"/>
      <c r="G1" s="1"/>
      <c r="H1" s="1"/>
      <c r="I1" s="1"/>
      <c r="J1" s="1"/>
      <c r="K1" s="1"/>
      <c r="L1" s="1"/>
      <c r="M1" s="1"/>
      <c r="Z1" s="388"/>
      <c r="AA1" s="388"/>
      <c r="AB1" s="388"/>
      <c r="AC1" s="388"/>
      <c r="AD1" s="388"/>
    </row>
    <row r="2" spans="2:34" ht="15.75" x14ac:dyDescent="0.25">
      <c r="B2" s="18" t="s">
        <v>169</v>
      </c>
      <c r="C2" s="1"/>
      <c r="D2" s="1"/>
      <c r="E2" s="1"/>
      <c r="F2" s="1"/>
      <c r="G2" s="1"/>
      <c r="H2" s="1"/>
      <c r="I2" s="1"/>
      <c r="J2" s="1"/>
      <c r="K2" s="1"/>
      <c r="L2" s="1"/>
      <c r="M2" s="1"/>
      <c r="Z2" s="388"/>
      <c r="AA2" s="388"/>
      <c r="AB2" s="388"/>
      <c r="AC2" s="388"/>
      <c r="AD2" s="388"/>
    </row>
    <row r="3" spans="2:34" ht="15.6" customHeight="1" x14ac:dyDescent="0.25">
      <c r="B3" s="18"/>
      <c r="C3" s="1"/>
      <c r="D3" s="1"/>
      <c r="E3" s="1"/>
      <c r="F3" s="1"/>
      <c r="G3" s="1"/>
      <c r="H3" s="1"/>
      <c r="I3" s="1"/>
      <c r="J3" s="1"/>
      <c r="K3" s="1"/>
      <c r="L3" s="1"/>
      <c r="M3" s="1"/>
      <c r="Z3" s="388"/>
      <c r="AA3" s="388"/>
      <c r="AB3" s="388"/>
      <c r="AC3" s="392"/>
      <c r="AD3" s="388"/>
    </row>
    <row r="4" spans="2:34" ht="15.75" x14ac:dyDescent="0.25">
      <c r="B4" s="18" t="s">
        <v>168</v>
      </c>
      <c r="C4" s="1"/>
      <c r="D4" s="1"/>
      <c r="E4" s="1"/>
      <c r="F4" s="1"/>
      <c r="G4" s="1"/>
      <c r="H4" s="1"/>
      <c r="I4" s="1"/>
      <c r="J4" s="1"/>
      <c r="K4" s="1"/>
      <c r="L4" s="1"/>
      <c r="M4" s="1"/>
      <c r="Z4" s="388"/>
      <c r="AA4" s="388"/>
      <c r="AB4" s="388"/>
      <c r="AC4" s="392"/>
      <c r="AD4" s="388"/>
    </row>
    <row r="5" spans="2:34" ht="15.75" thickBot="1" x14ac:dyDescent="0.25">
      <c r="B5" s="1"/>
      <c r="C5" s="1"/>
      <c r="D5" s="1"/>
      <c r="E5" s="1"/>
      <c r="F5" s="1"/>
      <c r="G5" s="1"/>
      <c r="H5" s="1"/>
      <c r="I5" s="1"/>
      <c r="J5" s="1"/>
      <c r="K5" s="1"/>
      <c r="L5" s="1"/>
      <c r="M5" s="1"/>
      <c r="Z5" s="388"/>
      <c r="AA5" s="389"/>
      <c r="AB5" s="389"/>
      <c r="AC5" s="393"/>
      <c r="AD5" s="389"/>
    </row>
    <row r="6" spans="2:34" ht="87.75" customHeight="1" thickBot="1" x14ac:dyDescent="0.25">
      <c r="B6" s="96" t="s">
        <v>134</v>
      </c>
      <c r="C6" s="97" t="s">
        <v>0</v>
      </c>
      <c r="D6" s="97" t="s">
        <v>1</v>
      </c>
      <c r="E6" s="97" t="s">
        <v>2</v>
      </c>
      <c r="F6" s="97" t="s">
        <v>3</v>
      </c>
      <c r="G6" s="97" t="s">
        <v>4</v>
      </c>
      <c r="H6" s="97" t="s">
        <v>5</v>
      </c>
      <c r="I6" s="97" t="s">
        <v>6</v>
      </c>
      <c r="J6" s="98" t="s">
        <v>135</v>
      </c>
      <c r="K6" s="213" t="s">
        <v>163</v>
      </c>
      <c r="L6" s="214" t="s">
        <v>164</v>
      </c>
      <c r="M6" s="214" t="s">
        <v>398</v>
      </c>
      <c r="N6" s="215" t="s">
        <v>160</v>
      </c>
      <c r="O6" s="214" t="s">
        <v>161</v>
      </c>
      <c r="P6" s="214" t="s">
        <v>162</v>
      </c>
      <c r="Q6" s="216" t="s">
        <v>292</v>
      </c>
      <c r="R6" s="214" t="s">
        <v>397</v>
      </c>
      <c r="S6" s="214" t="s">
        <v>165</v>
      </c>
      <c r="T6" s="214" t="s">
        <v>167</v>
      </c>
      <c r="U6" s="217" t="s">
        <v>166</v>
      </c>
      <c r="V6" s="320" t="s">
        <v>416</v>
      </c>
      <c r="W6" s="321" t="s">
        <v>417</v>
      </c>
      <c r="X6" s="322" t="s">
        <v>418</v>
      </c>
      <c r="Y6" s="322" t="s">
        <v>419</v>
      </c>
      <c r="Z6" s="387" t="s">
        <v>420</v>
      </c>
      <c r="AA6" s="387" t="s">
        <v>421</v>
      </c>
      <c r="AB6" s="387" t="s">
        <v>422</v>
      </c>
      <c r="AC6" s="387" t="s">
        <v>457</v>
      </c>
      <c r="AD6" s="387" t="s">
        <v>424</v>
      </c>
    </row>
    <row r="7" spans="2:34" ht="15.75" customHeight="1" x14ac:dyDescent="0.25">
      <c r="B7" s="19" t="s">
        <v>7</v>
      </c>
      <c r="C7" s="20" t="s">
        <v>20</v>
      </c>
      <c r="D7" s="20"/>
      <c r="E7" s="20"/>
      <c r="F7" s="20"/>
      <c r="G7" s="20"/>
      <c r="H7" s="20"/>
      <c r="I7" s="20"/>
      <c r="J7" s="192"/>
      <c r="K7" s="219"/>
      <c r="L7" s="220" t="s">
        <v>412</v>
      </c>
      <c r="M7" s="220"/>
      <c r="N7" s="221"/>
      <c r="O7" s="222">
        <f>+P7-S7</f>
        <v>0</v>
      </c>
      <c r="P7" s="222">
        <f>+R7-Q7</f>
        <v>0</v>
      </c>
      <c r="Q7" s="223">
        <f>+Q8+Q31</f>
        <v>5173000000</v>
      </c>
      <c r="R7" s="191">
        <f>+R8+R31</f>
        <v>5173000000</v>
      </c>
      <c r="S7" s="227"/>
      <c r="T7" s="224"/>
      <c r="U7" s="249"/>
      <c r="V7" s="296"/>
      <c r="W7" s="326"/>
      <c r="X7" s="191"/>
      <c r="Y7" s="191"/>
      <c r="Z7" s="359"/>
      <c r="AA7" s="359"/>
      <c r="AB7" s="359"/>
      <c r="AC7" s="359"/>
      <c r="AD7" s="359"/>
      <c r="AG7" s="273"/>
      <c r="AH7" s="273"/>
    </row>
    <row r="8" spans="2:34" s="18" customFormat="1" ht="15.75" customHeight="1" x14ac:dyDescent="0.25">
      <c r="B8" s="26" t="s">
        <v>7</v>
      </c>
      <c r="C8" s="27" t="s">
        <v>20</v>
      </c>
      <c r="D8" s="27" t="s">
        <v>8</v>
      </c>
      <c r="E8" s="27"/>
      <c r="F8" s="27"/>
      <c r="G8" s="27"/>
      <c r="H8" s="27"/>
      <c r="I8" s="27"/>
      <c r="J8" s="193"/>
      <c r="K8" s="26"/>
      <c r="L8" s="28" t="s">
        <v>25</v>
      </c>
      <c r="M8" s="28"/>
      <c r="N8" s="129"/>
      <c r="O8" s="152"/>
      <c r="P8" s="152"/>
      <c r="Q8" s="127">
        <f>+Q9</f>
        <v>386000000</v>
      </c>
      <c r="R8" s="29">
        <f>+R9</f>
        <v>386000000</v>
      </c>
      <c r="S8" s="242"/>
      <c r="T8" s="243"/>
      <c r="U8" s="250"/>
      <c r="V8" s="297"/>
      <c r="W8" s="327"/>
      <c r="X8" s="29"/>
      <c r="Y8" s="29"/>
      <c r="Z8" s="356"/>
      <c r="AA8" s="356"/>
      <c r="AB8" s="356"/>
      <c r="AC8" s="356"/>
      <c r="AD8" s="356"/>
      <c r="AG8" s="273"/>
      <c r="AH8" s="273"/>
    </row>
    <row r="9" spans="2:34" ht="15" customHeight="1" x14ac:dyDescent="0.2">
      <c r="B9" s="41" t="s">
        <v>7</v>
      </c>
      <c r="C9" s="42" t="s">
        <v>20</v>
      </c>
      <c r="D9" s="42" t="s">
        <v>8</v>
      </c>
      <c r="E9" s="42" t="s">
        <v>8</v>
      </c>
      <c r="F9" s="42"/>
      <c r="G9" s="42"/>
      <c r="H9" s="42"/>
      <c r="I9" s="42"/>
      <c r="J9" s="194"/>
      <c r="K9" s="41"/>
      <c r="L9" s="43" t="s">
        <v>26</v>
      </c>
      <c r="M9" s="43"/>
      <c r="N9" s="130"/>
      <c r="O9" s="153"/>
      <c r="P9" s="153"/>
      <c r="Q9" s="125">
        <f>+Q10+Q24</f>
        <v>386000000</v>
      </c>
      <c r="R9" s="44">
        <f>+R10+R24</f>
        <v>386000000</v>
      </c>
      <c r="S9" s="180"/>
      <c r="T9" s="45"/>
      <c r="U9" s="251"/>
      <c r="V9" s="298"/>
      <c r="W9" s="328"/>
      <c r="X9" s="44"/>
      <c r="Y9" s="44"/>
      <c r="Z9" s="357"/>
      <c r="AA9" s="357"/>
      <c r="AB9" s="357"/>
      <c r="AC9" s="357"/>
      <c r="AD9" s="357"/>
      <c r="AG9" s="273"/>
      <c r="AH9" s="273"/>
    </row>
    <row r="10" spans="2:34" ht="15" customHeight="1" x14ac:dyDescent="0.2">
      <c r="B10" s="13" t="s">
        <v>7</v>
      </c>
      <c r="C10" s="14" t="s">
        <v>20</v>
      </c>
      <c r="D10" s="14" t="s">
        <v>8</v>
      </c>
      <c r="E10" s="14" t="s">
        <v>8</v>
      </c>
      <c r="F10" s="14" t="s">
        <v>12</v>
      </c>
      <c r="G10" s="14"/>
      <c r="H10" s="14"/>
      <c r="I10" s="14"/>
      <c r="J10" s="195"/>
      <c r="K10" s="13"/>
      <c r="L10" s="15" t="s">
        <v>36</v>
      </c>
      <c r="M10" s="15"/>
      <c r="N10" s="131"/>
      <c r="O10" s="154"/>
      <c r="P10" s="154"/>
      <c r="Q10" s="125">
        <f>+Q11+Q16</f>
        <v>283000000</v>
      </c>
      <c r="R10" s="16">
        <f>+R11+R16</f>
        <v>238000000</v>
      </c>
      <c r="S10" s="14"/>
      <c r="T10" s="17"/>
      <c r="U10" s="252"/>
      <c r="V10" s="299"/>
      <c r="W10" s="329"/>
      <c r="X10" s="16"/>
      <c r="Y10" s="16"/>
      <c r="Z10" s="353"/>
      <c r="AA10" s="353"/>
      <c r="AB10" s="353"/>
      <c r="AC10" s="353"/>
      <c r="AD10" s="353"/>
      <c r="AG10" s="273"/>
      <c r="AH10" s="273"/>
    </row>
    <row r="11" spans="2:34" ht="15" customHeight="1" x14ac:dyDescent="0.2">
      <c r="B11" s="91" t="s">
        <v>7</v>
      </c>
      <c r="C11" s="92" t="s">
        <v>20</v>
      </c>
      <c r="D11" s="92" t="s">
        <v>8</v>
      </c>
      <c r="E11" s="92" t="s">
        <v>8</v>
      </c>
      <c r="F11" s="92" t="s">
        <v>12</v>
      </c>
      <c r="G11" s="92" t="s">
        <v>12</v>
      </c>
      <c r="H11" s="92"/>
      <c r="I11" s="92"/>
      <c r="J11" s="196"/>
      <c r="K11" s="91"/>
      <c r="L11" s="93" t="s">
        <v>39</v>
      </c>
      <c r="M11" s="93"/>
      <c r="N11" s="132"/>
      <c r="O11" s="155"/>
      <c r="P11" s="155"/>
      <c r="Q11" s="125">
        <f>SUM(Q14:Q14)</f>
        <v>110000000</v>
      </c>
      <c r="R11" s="94">
        <f>SUM(R12,R14)</f>
        <v>110000000</v>
      </c>
      <c r="S11" s="92"/>
      <c r="T11" s="95"/>
      <c r="U11" s="244"/>
      <c r="V11" s="300"/>
      <c r="W11" s="330"/>
      <c r="X11" s="94"/>
      <c r="Y11" s="94"/>
      <c r="Z11" s="354"/>
      <c r="AA11" s="354"/>
      <c r="AB11" s="354"/>
      <c r="AC11" s="354"/>
      <c r="AD11" s="354"/>
      <c r="AG11" s="273"/>
      <c r="AH11" s="273"/>
    </row>
    <row r="12" spans="2:34" ht="15" customHeight="1" x14ac:dyDescent="0.2">
      <c r="B12" s="11" t="s">
        <v>7</v>
      </c>
      <c r="C12" s="4" t="s">
        <v>20</v>
      </c>
      <c r="D12" s="4" t="s">
        <v>8</v>
      </c>
      <c r="E12" s="4" t="s">
        <v>8</v>
      </c>
      <c r="F12" s="4" t="s">
        <v>12</v>
      </c>
      <c r="G12" s="4" t="s">
        <v>12</v>
      </c>
      <c r="H12" s="233" t="s">
        <v>20</v>
      </c>
      <c r="I12" s="4"/>
      <c r="J12" s="197"/>
      <c r="K12" s="11"/>
      <c r="L12" s="6" t="s">
        <v>40</v>
      </c>
      <c r="M12" s="6"/>
      <c r="N12" s="133"/>
      <c r="O12" s="156"/>
      <c r="P12" s="156"/>
      <c r="Q12" s="5"/>
      <c r="R12" s="5">
        <f>SUM(R13)</f>
        <v>110000000</v>
      </c>
      <c r="S12" s="4"/>
      <c r="T12" s="288"/>
      <c r="U12" s="289"/>
      <c r="V12" s="301"/>
      <c r="W12" s="331"/>
      <c r="X12" s="5"/>
      <c r="Y12" s="5"/>
      <c r="Z12" s="355"/>
      <c r="AA12" s="355"/>
      <c r="AB12" s="355"/>
      <c r="AC12" s="355"/>
      <c r="AD12" s="355"/>
      <c r="AG12" s="273"/>
      <c r="AH12" s="273"/>
    </row>
    <row r="13" spans="2:34" ht="15" customHeight="1" x14ac:dyDescent="0.2">
      <c r="B13" s="99"/>
      <c r="C13" s="182"/>
      <c r="D13" s="182"/>
      <c r="E13" s="182"/>
      <c r="F13" s="182"/>
      <c r="G13" s="182"/>
      <c r="H13" s="182"/>
      <c r="I13" s="182"/>
      <c r="J13" s="351"/>
      <c r="K13" s="99"/>
      <c r="L13" s="100" t="s">
        <v>429</v>
      </c>
      <c r="M13" s="93"/>
      <c r="N13" s="134"/>
      <c r="O13" s="157"/>
      <c r="P13" s="157"/>
      <c r="Q13" s="101"/>
      <c r="R13" s="101">
        <v>110000000</v>
      </c>
      <c r="S13" s="182"/>
      <c r="T13" s="102"/>
      <c r="U13" s="253"/>
      <c r="V13" s="302">
        <v>21620</v>
      </c>
      <c r="W13" s="332">
        <v>43917</v>
      </c>
      <c r="X13" s="174">
        <v>110000000</v>
      </c>
      <c r="Y13" s="174">
        <v>110000000</v>
      </c>
      <c r="Z13" s="352">
        <v>94796101</v>
      </c>
      <c r="AA13" s="352">
        <f>+R13-Y13</f>
        <v>0</v>
      </c>
      <c r="AB13" s="352">
        <f>+Z13-AA13</f>
        <v>94796101</v>
      </c>
      <c r="AC13" s="352">
        <f>IF(Z13=0,"0",IF(Z13&gt;0,Y13-Z13,))</f>
        <v>15203899</v>
      </c>
      <c r="AD13" s="352">
        <f>+R13-Y13+AB13</f>
        <v>94796101</v>
      </c>
      <c r="AG13" s="273"/>
      <c r="AH13" s="273"/>
    </row>
    <row r="14" spans="2:34" ht="15" customHeight="1" x14ac:dyDescent="0.2">
      <c r="B14" s="11" t="s">
        <v>7</v>
      </c>
      <c r="C14" s="4" t="s">
        <v>20</v>
      </c>
      <c r="D14" s="4" t="s">
        <v>8</v>
      </c>
      <c r="E14" s="4" t="s">
        <v>8</v>
      </c>
      <c r="F14" s="4" t="s">
        <v>12</v>
      </c>
      <c r="G14" s="4" t="s">
        <v>12</v>
      </c>
      <c r="H14" s="4" t="s">
        <v>30</v>
      </c>
      <c r="I14" s="4"/>
      <c r="J14" s="197"/>
      <c r="K14" s="11"/>
      <c r="L14" s="6" t="s">
        <v>146</v>
      </c>
      <c r="M14" s="6"/>
      <c r="N14" s="133"/>
      <c r="O14" s="156"/>
      <c r="P14" s="156"/>
      <c r="Q14" s="125">
        <v>110000000</v>
      </c>
      <c r="R14" s="5">
        <f>SUM(R15:R15)</f>
        <v>0</v>
      </c>
      <c r="S14" s="181"/>
      <c r="T14" s="9"/>
      <c r="U14" s="245"/>
      <c r="V14" s="301"/>
      <c r="W14" s="331"/>
      <c r="X14" s="5"/>
      <c r="Y14" s="5"/>
      <c r="Z14" s="355"/>
      <c r="AA14" s="355"/>
      <c r="AB14" s="355"/>
      <c r="AC14" s="355"/>
      <c r="AD14" s="355"/>
      <c r="AG14" s="273"/>
      <c r="AH14" s="273"/>
    </row>
    <row r="15" spans="2:34" ht="30" customHeight="1" x14ac:dyDescent="0.2">
      <c r="B15" s="623"/>
      <c r="C15" s="624"/>
      <c r="D15" s="624"/>
      <c r="E15" s="624"/>
      <c r="F15" s="624"/>
      <c r="G15" s="624"/>
      <c r="H15" s="624"/>
      <c r="I15" s="624"/>
      <c r="J15" s="624"/>
      <c r="K15" s="99"/>
      <c r="L15" s="100" t="s">
        <v>219</v>
      </c>
      <c r="M15" s="134">
        <v>43876</v>
      </c>
      <c r="N15" s="134">
        <v>43905</v>
      </c>
      <c r="O15" s="157" t="s">
        <v>332</v>
      </c>
      <c r="P15" s="157" t="s">
        <v>334</v>
      </c>
      <c r="Q15" s="125"/>
      <c r="R15" s="101">
        <f>110000000-110000000</f>
        <v>0</v>
      </c>
      <c r="S15" s="182" t="s">
        <v>386</v>
      </c>
      <c r="T15" s="102"/>
      <c r="U15" s="253" t="s">
        <v>221</v>
      </c>
      <c r="V15" s="302"/>
      <c r="W15" s="323"/>
      <c r="X15" s="324"/>
      <c r="Y15" s="324"/>
      <c r="Z15" s="360"/>
      <c r="AA15" s="361"/>
      <c r="AB15" s="360" t="str">
        <f>IF(Z15=0,"0",IF(Z15&gt;0,Y15-Z15,))</f>
        <v>0</v>
      </c>
      <c r="AC15" s="352" t="str">
        <f>IF(Z15=0,"0",IF(Z15&gt;0,Y15-Z15,))</f>
        <v>0</v>
      </c>
      <c r="AD15" s="352">
        <f>+R15-Y15+AB15</f>
        <v>0</v>
      </c>
      <c r="AG15" s="273"/>
      <c r="AH15" s="273"/>
    </row>
    <row r="16" spans="2:34" ht="15" customHeight="1" x14ac:dyDescent="0.2">
      <c r="B16" s="91" t="s">
        <v>7</v>
      </c>
      <c r="C16" s="92" t="s">
        <v>20</v>
      </c>
      <c r="D16" s="92" t="s">
        <v>8</v>
      </c>
      <c r="E16" s="92" t="s">
        <v>8</v>
      </c>
      <c r="F16" s="92" t="s">
        <v>12</v>
      </c>
      <c r="G16" s="92" t="s">
        <v>13</v>
      </c>
      <c r="H16" s="92"/>
      <c r="I16" s="92"/>
      <c r="J16" s="196"/>
      <c r="K16" s="91"/>
      <c r="L16" s="93" t="s">
        <v>42</v>
      </c>
      <c r="M16" s="93"/>
      <c r="N16" s="132"/>
      <c r="O16" s="155"/>
      <c r="P16" s="155"/>
      <c r="Q16" s="125">
        <f>SUM(Q17:Q17)</f>
        <v>173000000</v>
      </c>
      <c r="R16" s="94">
        <f>SUM(R17:R17)</f>
        <v>128000000</v>
      </c>
      <c r="S16" s="92"/>
      <c r="T16" s="95"/>
      <c r="U16" s="244"/>
      <c r="V16" s="300"/>
      <c r="W16" s="330"/>
      <c r="X16" s="94"/>
      <c r="Y16" s="94"/>
      <c r="Z16" s="354"/>
      <c r="AA16" s="354"/>
      <c r="AB16" s="354"/>
      <c r="AC16" s="354"/>
      <c r="AD16" s="354"/>
      <c r="AG16" s="273"/>
      <c r="AH16" s="273"/>
    </row>
    <row r="17" spans="2:34" ht="17.649999999999999" customHeight="1" x14ac:dyDescent="0.2">
      <c r="B17" s="11" t="s">
        <v>7</v>
      </c>
      <c r="C17" s="4" t="s">
        <v>20</v>
      </c>
      <c r="D17" s="4" t="s">
        <v>8</v>
      </c>
      <c r="E17" s="4" t="s">
        <v>8</v>
      </c>
      <c r="F17" s="4" t="s">
        <v>12</v>
      </c>
      <c r="G17" s="4" t="s">
        <v>13</v>
      </c>
      <c r="H17" s="4" t="s">
        <v>20</v>
      </c>
      <c r="I17" s="4"/>
      <c r="J17" s="197"/>
      <c r="K17" s="11"/>
      <c r="L17" s="6" t="s">
        <v>290</v>
      </c>
      <c r="M17" s="6"/>
      <c r="N17" s="133"/>
      <c r="O17" s="156"/>
      <c r="P17" s="156"/>
      <c r="Q17" s="125">
        <v>173000000</v>
      </c>
      <c r="R17" s="5">
        <f>SUM(R18:R23)</f>
        <v>128000000</v>
      </c>
      <c r="S17" s="183"/>
      <c r="T17" s="9"/>
      <c r="U17" s="245"/>
      <c r="V17" s="301"/>
      <c r="W17" s="331"/>
      <c r="X17" s="5"/>
      <c r="Y17" s="5"/>
      <c r="Z17" s="355"/>
      <c r="AA17" s="355"/>
      <c r="AB17" s="355"/>
      <c r="AC17" s="355"/>
      <c r="AD17" s="355"/>
      <c r="AG17" s="273"/>
      <c r="AH17" s="273"/>
    </row>
    <row r="18" spans="2:34" ht="17.649999999999999" customHeight="1" x14ac:dyDescent="0.2">
      <c r="B18" s="117"/>
      <c r="C18" s="118"/>
      <c r="D18" s="118"/>
      <c r="E18" s="118"/>
      <c r="F18" s="118"/>
      <c r="G18" s="118"/>
      <c r="H18" s="118"/>
      <c r="I18" s="118"/>
      <c r="J18" s="118"/>
      <c r="K18" s="99">
        <v>43211500</v>
      </c>
      <c r="L18" s="100" t="s">
        <v>283</v>
      </c>
      <c r="M18" s="134">
        <v>43845</v>
      </c>
      <c r="N18" s="134">
        <v>43876</v>
      </c>
      <c r="O18" s="157" t="s">
        <v>294</v>
      </c>
      <c r="P18" s="157" t="s">
        <v>384</v>
      </c>
      <c r="Q18" s="125"/>
      <c r="R18" s="101">
        <v>70000000</v>
      </c>
      <c r="S18" s="182" t="s">
        <v>386</v>
      </c>
      <c r="T18" s="102"/>
      <c r="U18" s="253" t="s">
        <v>181</v>
      </c>
      <c r="V18" s="599">
        <v>8020</v>
      </c>
      <c r="W18" s="608">
        <v>43852</v>
      </c>
      <c r="X18" s="611">
        <v>128000000</v>
      </c>
      <c r="Y18" s="611">
        <v>128000000</v>
      </c>
      <c r="Z18" s="596">
        <v>0</v>
      </c>
      <c r="AA18" s="596">
        <f>+(+R18+R19+R20+R21+R22+R23)-X18</f>
        <v>0</v>
      </c>
      <c r="AB18" s="596">
        <f>+Y18-Z18</f>
        <v>128000000</v>
      </c>
      <c r="AC18" s="596" t="str">
        <f>IF(Z18=0,"0",IF(Z18&gt;0,Y18-Z18,))</f>
        <v>0</v>
      </c>
      <c r="AD18" s="593">
        <f>+(R18+R19+R20+R21+R22+R23)-Y18+AB18</f>
        <v>128000000</v>
      </c>
      <c r="AG18" s="273"/>
      <c r="AH18" s="273"/>
    </row>
    <row r="19" spans="2:34" ht="17.649999999999999" customHeight="1" x14ac:dyDescent="0.2">
      <c r="B19" s="119"/>
      <c r="C19" s="120"/>
      <c r="D19" s="120"/>
      <c r="E19" s="120"/>
      <c r="F19" s="120"/>
      <c r="G19" s="120"/>
      <c r="H19" s="120"/>
      <c r="I19" s="120"/>
      <c r="J19" s="120"/>
      <c r="K19" s="99">
        <v>43212100</v>
      </c>
      <c r="L19" s="100" t="s">
        <v>295</v>
      </c>
      <c r="M19" s="134">
        <v>43876</v>
      </c>
      <c r="N19" s="134">
        <v>43905</v>
      </c>
      <c r="O19" s="157" t="s">
        <v>294</v>
      </c>
      <c r="P19" s="157" t="s">
        <v>319</v>
      </c>
      <c r="Q19" s="125"/>
      <c r="R19" s="101">
        <v>30000000</v>
      </c>
      <c r="S19" s="182" t="s">
        <v>386</v>
      </c>
      <c r="T19" s="102"/>
      <c r="U19" s="253" t="s">
        <v>181</v>
      </c>
      <c r="V19" s="600"/>
      <c r="W19" s="609"/>
      <c r="X19" s="612"/>
      <c r="Y19" s="612"/>
      <c r="Z19" s="597"/>
      <c r="AA19" s="597"/>
      <c r="AB19" s="597"/>
      <c r="AC19" s="597"/>
      <c r="AD19" s="594"/>
      <c r="AG19" s="273"/>
      <c r="AH19" s="273"/>
    </row>
    <row r="20" spans="2:34" ht="17.649999999999999" customHeight="1" x14ac:dyDescent="0.2">
      <c r="B20" s="119"/>
      <c r="C20" s="120"/>
      <c r="D20" s="120"/>
      <c r="E20" s="120"/>
      <c r="F20" s="120"/>
      <c r="G20" s="120"/>
      <c r="H20" s="120"/>
      <c r="I20" s="120"/>
      <c r="J20" s="120"/>
      <c r="K20" s="99">
        <v>43212100</v>
      </c>
      <c r="L20" s="100" t="s">
        <v>284</v>
      </c>
      <c r="M20" s="134">
        <v>43845</v>
      </c>
      <c r="N20" s="134">
        <v>43876</v>
      </c>
      <c r="O20" s="157" t="s">
        <v>294</v>
      </c>
      <c r="P20" s="157" t="s">
        <v>384</v>
      </c>
      <c r="Q20" s="125"/>
      <c r="R20" s="101">
        <v>13000000</v>
      </c>
      <c r="S20" s="182" t="s">
        <v>386</v>
      </c>
      <c r="T20" s="102"/>
      <c r="U20" s="253" t="s">
        <v>181</v>
      </c>
      <c r="V20" s="600"/>
      <c r="W20" s="609"/>
      <c r="X20" s="612"/>
      <c r="Y20" s="612"/>
      <c r="Z20" s="597"/>
      <c r="AA20" s="597"/>
      <c r="AB20" s="597"/>
      <c r="AC20" s="597"/>
      <c r="AD20" s="594"/>
      <c r="AG20" s="273"/>
      <c r="AH20" s="273"/>
    </row>
    <row r="21" spans="2:34" ht="17.649999999999999" customHeight="1" x14ac:dyDescent="0.2">
      <c r="B21" s="119"/>
      <c r="C21" s="120"/>
      <c r="D21" s="120"/>
      <c r="E21" s="120"/>
      <c r="F21" s="120"/>
      <c r="G21" s="120"/>
      <c r="H21" s="120"/>
      <c r="I21" s="120"/>
      <c r="J21" s="120"/>
      <c r="K21" s="99">
        <v>43211900</v>
      </c>
      <c r="L21" s="100" t="s">
        <v>285</v>
      </c>
      <c r="M21" s="134">
        <v>43876</v>
      </c>
      <c r="N21" s="134">
        <v>43905</v>
      </c>
      <c r="O21" s="157" t="s">
        <v>294</v>
      </c>
      <c r="P21" s="157" t="s">
        <v>319</v>
      </c>
      <c r="Q21" s="125"/>
      <c r="R21" s="101">
        <v>3000000</v>
      </c>
      <c r="S21" s="182" t="s">
        <v>386</v>
      </c>
      <c r="T21" s="102"/>
      <c r="U21" s="253" t="s">
        <v>181</v>
      </c>
      <c r="V21" s="600"/>
      <c r="W21" s="609"/>
      <c r="X21" s="612"/>
      <c r="Y21" s="612"/>
      <c r="Z21" s="597"/>
      <c r="AA21" s="597"/>
      <c r="AB21" s="597"/>
      <c r="AC21" s="597"/>
      <c r="AD21" s="594"/>
      <c r="AG21" s="273"/>
      <c r="AH21" s="273"/>
    </row>
    <row r="22" spans="2:34" ht="17.649999999999999" customHeight="1" x14ac:dyDescent="0.2">
      <c r="B22" s="119"/>
      <c r="C22" s="120"/>
      <c r="D22" s="120"/>
      <c r="E22" s="120"/>
      <c r="F22" s="120"/>
      <c r="G22" s="120"/>
      <c r="H22" s="120"/>
      <c r="I22" s="120"/>
      <c r="J22" s="120"/>
      <c r="K22" s="99">
        <v>43212200</v>
      </c>
      <c r="L22" s="100" t="s">
        <v>286</v>
      </c>
      <c r="M22" s="134">
        <v>43876</v>
      </c>
      <c r="N22" s="134">
        <v>43905</v>
      </c>
      <c r="O22" s="157" t="s">
        <v>294</v>
      </c>
      <c r="P22" s="157" t="s">
        <v>319</v>
      </c>
      <c r="Q22" s="125"/>
      <c r="R22" s="101">
        <v>10000000</v>
      </c>
      <c r="S22" s="182" t="s">
        <v>386</v>
      </c>
      <c r="T22" s="102"/>
      <c r="U22" s="253" t="s">
        <v>181</v>
      </c>
      <c r="V22" s="600"/>
      <c r="W22" s="609"/>
      <c r="X22" s="612"/>
      <c r="Y22" s="612"/>
      <c r="Z22" s="597"/>
      <c r="AA22" s="597"/>
      <c r="AB22" s="597"/>
      <c r="AC22" s="597"/>
      <c r="AD22" s="594"/>
      <c r="AG22" s="273"/>
      <c r="AH22" s="273"/>
    </row>
    <row r="23" spans="2:34" ht="17.649999999999999" customHeight="1" x14ac:dyDescent="0.2">
      <c r="B23" s="119"/>
      <c r="C23" s="120"/>
      <c r="D23" s="120"/>
      <c r="E23" s="120"/>
      <c r="F23" s="120"/>
      <c r="G23" s="120"/>
      <c r="H23" s="120"/>
      <c r="I23" s="120"/>
      <c r="J23" s="120"/>
      <c r="K23" s="99">
        <v>43201600</v>
      </c>
      <c r="L23" s="100" t="s">
        <v>293</v>
      </c>
      <c r="M23" s="134">
        <v>43876</v>
      </c>
      <c r="N23" s="134">
        <v>43905</v>
      </c>
      <c r="O23" s="157" t="s">
        <v>294</v>
      </c>
      <c r="P23" s="157" t="s">
        <v>319</v>
      </c>
      <c r="Q23" s="125"/>
      <c r="R23" s="101">
        <v>2000000</v>
      </c>
      <c r="S23" s="182" t="s">
        <v>386</v>
      </c>
      <c r="T23" s="102"/>
      <c r="U23" s="253" t="s">
        <v>181</v>
      </c>
      <c r="V23" s="601"/>
      <c r="W23" s="610"/>
      <c r="X23" s="613"/>
      <c r="Y23" s="613"/>
      <c r="Z23" s="598"/>
      <c r="AA23" s="598"/>
      <c r="AB23" s="598"/>
      <c r="AC23" s="598"/>
      <c r="AD23" s="595"/>
      <c r="AG23" s="273"/>
      <c r="AH23" s="273"/>
    </row>
    <row r="24" spans="2:34" ht="15" customHeight="1" x14ac:dyDescent="0.2">
      <c r="B24" s="13" t="s">
        <v>7</v>
      </c>
      <c r="C24" s="14" t="s">
        <v>20</v>
      </c>
      <c r="D24" s="14" t="s">
        <v>8</v>
      </c>
      <c r="E24" s="14" t="s">
        <v>8</v>
      </c>
      <c r="F24" s="14" t="s">
        <v>14</v>
      </c>
      <c r="G24" s="14"/>
      <c r="H24" s="14"/>
      <c r="I24" s="14"/>
      <c r="J24" s="195"/>
      <c r="K24" s="13"/>
      <c r="L24" s="15" t="s">
        <v>44</v>
      </c>
      <c r="M24" s="15"/>
      <c r="N24" s="131"/>
      <c r="O24" s="154"/>
      <c r="P24" s="154"/>
      <c r="Q24" s="125">
        <f t="shared" ref="Q24:R27" si="0">+Q25</f>
        <v>103000000</v>
      </c>
      <c r="R24" s="16">
        <f t="shared" si="0"/>
        <v>148000000</v>
      </c>
      <c r="S24" s="14"/>
      <c r="T24" s="17"/>
      <c r="U24" s="252"/>
      <c r="V24" s="299"/>
      <c r="W24" s="329"/>
      <c r="X24" s="16"/>
      <c r="Y24" s="16"/>
      <c r="Z24" s="353"/>
      <c r="AA24" s="353"/>
      <c r="AB24" s="353"/>
      <c r="AC24" s="353"/>
      <c r="AD24" s="353"/>
      <c r="AG24" s="273"/>
      <c r="AH24" s="273"/>
    </row>
    <row r="25" spans="2:34" ht="15" customHeight="1" x14ac:dyDescent="0.2">
      <c r="B25" s="91" t="s">
        <v>7</v>
      </c>
      <c r="C25" s="92" t="s">
        <v>20</v>
      </c>
      <c r="D25" s="92" t="s">
        <v>8</v>
      </c>
      <c r="E25" s="92" t="s">
        <v>8</v>
      </c>
      <c r="F25" s="92" t="s">
        <v>14</v>
      </c>
      <c r="G25" s="92" t="s">
        <v>10</v>
      </c>
      <c r="H25" s="92"/>
      <c r="I25" s="92"/>
      <c r="J25" s="196"/>
      <c r="K25" s="91"/>
      <c r="L25" s="93" t="s">
        <v>45</v>
      </c>
      <c r="M25" s="93"/>
      <c r="N25" s="132"/>
      <c r="O25" s="155"/>
      <c r="P25" s="155"/>
      <c r="Q25" s="125">
        <f t="shared" si="0"/>
        <v>103000000</v>
      </c>
      <c r="R25" s="94">
        <f t="shared" si="0"/>
        <v>148000000</v>
      </c>
      <c r="S25" s="92"/>
      <c r="T25" s="95"/>
      <c r="U25" s="244"/>
      <c r="V25" s="300"/>
      <c r="W25" s="330"/>
      <c r="X25" s="94"/>
      <c r="Y25" s="94"/>
      <c r="Z25" s="354"/>
      <c r="AA25" s="354"/>
      <c r="AB25" s="354"/>
      <c r="AC25" s="354"/>
      <c r="AD25" s="354"/>
      <c r="AG25" s="273"/>
      <c r="AH25" s="273"/>
    </row>
    <row r="26" spans="2:34" ht="15" customHeight="1" x14ac:dyDescent="0.2">
      <c r="B26" s="11" t="s">
        <v>7</v>
      </c>
      <c r="C26" s="4" t="s">
        <v>20</v>
      </c>
      <c r="D26" s="4" t="s">
        <v>8</v>
      </c>
      <c r="E26" s="4" t="s">
        <v>8</v>
      </c>
      <c r="F26" s="4" t="s">
        <v>14</v>
      </c>
      <c r="G26" s="4" t="s">
        <v>10</v>
      </c>
      <c r="H26" s="4" t="s">
        <v>23</v>
      </c>
      <c r="I26" s="4"/>
      <c r="J26" s="197"/>
      <c r="K26" s="11"/>
      <c r="L26" s="6" t="s">
        <v>46</v>
      </c>
      <c r="M26" s="6"/>
      <c r="N26" s="133"/>
      <c r="O26" s="156"/>
      <c r="P26" s="156"/>
      <c r="Q26" s="125">
        <f t="shared" si="0"/>
        <v>103000000</v>
      </c>
      <c r="R26" s="5">
        <f t="shared" si="0"/>
        <v>148000000</v>
      </c>
      <c r="S26" s="181"/>
      <c r="T26" s="9"/>
      <c r="U26" s="245"/>
      <c r="V26" s="301"/>
      <c r="W26" s="331"/>
      <c r="X26" s="5"/>
      <c r="Y26" s="5"/>
      <c r="Z26" s="355"/>
      <c r="AA26" s="355"/>
      <c r="AB26" s="355"/>
      <c r="AC26" s="355"/>
      <c r="AD26" s="355"/>
      <c r="AG26" s="273"/>
      <c r="AH26" s="273"/>
    </row>
    <row r="27" spans="2:34" ht="15" customHeight="1" x14ac:dyDescent="0.2">
      <c r="B27" s="11" t="s">
        <v>7</v>
      </c>
      <c r="C27" s="4" t="s">
        <v>20</v>
      </c>
      <c r="D27" s="4" t="s">
        <v>8</v>
      </c>
      <c r="E27" s="4" t="s">
        <v>8</v>
      </c>
      <c r="F27" s="4" t="s">
        <v>14</v>
      </c>
      <c r="G27" s="4" t="s">
        <v>10</v>
      </c>
      <c r="H27" s="4" t="s">
        <v>23</v>
      </c>
      <c r="I27" s="4" t="s">
        <v>21</v>
      </c>
      <c r="J27" s="197"/>
      <c r="K27" s="11"/>
      <c r="L27" s="6" t="s">
        <v>47</v>
      </c>
      <c r="M27" s="6"/>
      <c r="N27" s="133"/>
      <c r="O27" s="156"/>
      <c r="P27" s="156"/>
      <c r="Q27" s="125">
        <f t="shared" si="0"/>
        <v>103000000</v>
      </c>
      <c r="R27" s="5">
        <f t="shared" si="0"/>
        <v>148000000</v>
      </c>
      <c r="S27" s="181"/>
      <c r="T27" s="9"/>
      <c r="U27" s="245"/>
      <c r="V27" s="301"/>
      <c r="W27" s="331"/>
      <c r="X27" s="5"/>
      <c r="Y27" s="5"/>
      <c r="Z27" s="355"/>
      <c r="AA27" s="355"/>
      <c r="AB27" s="355"/>
      <c r="AC27" s="355"/>
      <c r="AD27" s="355"/>
      <c r="AG27" s="273"/>
      <c r="AH27" s="273"/>
    </row>
    <row r="28" spans="2:34" ht="15" customHeight="1" x14ac:dyDescent="0.2">
      <c r="B28" s="11" t="s">
        <v>7</v>
      </c>
      <c r="C28" s="4" t="s">
        <v>20</v>
      </c>
      <c r="D28" s="4" t="s">
        <v>8</v>
      </c>
      <c r="E28" s="4" t="s">
        <v>8</v>
      </c>
      <c r="F28" s="4" t="s">
        <v>14</v>
      </c>
      <c r="G28" s="4" t="s">
        <v>10</v>
      </c>
      <c r="H28" s="4" t="s">
        <v>23</v>
      </c>
      <c r="I28" s="4" t="s">
        <v>21</v>
      </c>
      <c r="J28" s="197" t="s">
        <v>8</v>
      </c>
      <c r="K28" s="11"/>
      <c r="L28" s="6" t="s">
        <v>48</v>
      </c>
      <c r="M28" s="6"/>
      <c r="N28" s="133"/>
      <c r="O28" s="156"/>
      <c r="P28" s="156"/>
      <c r="Q28" s="125">
        <v>103000000</v>
      </c>
      <c r="R28" s="5">
        <f>SUM(R29:R30)</f>
        <v>148000000</v>
      </c>
      <c r="S28" s="181"/>
      <c r="T28" s="9"/>
      <c r="U28" s="245"/>
      <c r="V28" s="301"/>
      <c r="W28" s="331"/>
      <c r="X28" s="5"/>
      <c r="Y28" s="5"/>
      <c r="Z28" s="355"/>
      <c r="AA28" s="355"/>
      <c r="AB28" s="355"/>
      <c r="AC28" s="355"/>
      <c r="AD28" s="355"/>
      <c r="AG28" s="273"/>
      <c r="AH28" s="273"/>
    </row>
    <row r="29" spans="2:34" ht="15" customHeight="1" x14ac:dyDescent="0.2">
      <c r="B29" s="623"/>
      <c r="C29" s="624"/>
      <c r="D29" s="624"/>
      <c r="E29" s="624"/>
      <c r="F29" s="624"/>
      <c r="G29" s="624"/>
      <c r="H29" s="624"/>
      <c r="I29" s="624"/>
      <c r="J29" s="624"/>
      <c r="K29" s="99">
        <v>43231500</v>
      </c>
      <c r="L29" s="100" t="s">
        <v>171</v>
      </c>
      <c r="M29" s="134">
        <v>43845</v>
      </c>
      <c r="N29" s="134">
        <v>43876</v>
      </c>
      <c r="O29" s="157" t="s">
        <v>294</v>
      </c>
      <c r="P29" s="157" t="s">
        <v>318</v>
      </c>
      <c r="Q29" s="125"/>
      <c r="R29" s="101">
        <f>34740131-18000000+13339675</f>
        <v>30079806</v>
      </c>
      <c r="S29" s="182"/>
      <c r="T29" s="102"/>
      <c r="U29" s="253" t="s">
        <v>181</v>
      </c>
      <c r="V29" s="302"/>
      <c r="W29" s="332"/>
      <c r="X29" s="174"/>
      <c r="Y29" s="174"/>
      <c r="Z29" s="352"/>
      <c r="AA29" s="352">
        <f>+R29-Y29</f>
        <v>30079806</v>
      </c>
      <c r="AB29" s="352">
        <f>+Z29-AA29</f>
        <v>-30079806</v>
      </c>
      <c r="AC29" s="352" t="str">
        <f>IF(Z29=0,"0",IF(Z29&gt;0,Y29-Z29,))</f>
        <v>0</v>
      </c>
      <c r="AD29" s="352">
        <f>+R29-Y29+AB29</f>
        <v>0</v>
      </c>
      <c r="AG29" s="273"/>
      <c r="AH29" s="273"/>
    </row>
    <row r="30" spans="2:34" ht="47.1" customHeight="1" x14ac:dyDescent="0.2">
      <c r="B30" s="625"/>
      <c r="C30" s="626"/>
      <c r="D30" s="626"/>
      <c r="E30" s="626"/>
      <c r="F30" s="626"/>
      <c r="G30" s="626"/>
      <c r="H30" s="626"/>
      <c r="I30" s="626"/>
      <c r="J30" s="626"/>
      <c r="K30" s="176" t="s">
        <v>297</v>
      </c>
      <c r="L30" s="110" t="s">
        <v>237</v>
      </c>
      <c r="M30" s="110"/>
      <c r="N30" s="135"/>
      <c r="O30" s="158" t="s">
        <v>296</v>
      </c>
      <c r="P30" s="158"/>
      <c r="Q30" s="125"/>
      <c r="R30" s="111">
        <v>117920194</v>
      </c>
      <c r="S30" s="184"/>
      <c r="T30" s="248"/>
      <c r="U30" s="254" t="s">
        <v>181</v>
      </c>
      <c r="V30" s="302">
        <v>3820</v>
      </c>
      <c r="W30" s="332">
        <v>43844</v>
      </c>
      <c r="X30" s="174">
        <v>117920194</v>
      </c>
      <c r="Y30" s="174">
        <v>117920194</v>
      </c>
      <c r="Z30" s="352">
        <v>117920194</v>
      </c>
      <c r="AA30" s="352">
        <f>+R30-Y30</f>
        <v>0</v>
      </c>
      <c r="AB30" s="352">
        <f>+Z30-AA30</f>
        <v>117920194</v>
      </c>
      <c r="AC30" s="352">
        <f>IF(Z30=0,"0",IF(Z30&gt;0,Y30-Z30,))</f>
        <v>0</v>
      </c>
      <c r="AD30" s="352">
        <f>+R30-Y30+AB30</f>
        <v>117920194</v>
      </c>
      <c r="AG30" s="273"/>
      <c r="AH30" s="273"/>
    </row>
    <row r="31" spans="2:34" s="18" customFormat="1" ht="15.75" customHeight="1" x14ac:dyDescent="0.25">
      <c r="B31" s="26" t="s">
        <v>7</v>
      </c>
      <c r="C31" s="27" t="s">
        <v>20</v>
      </c>
      <c r="D31" s="27" t="s">
        <v>20</v>
      </c>
      <c r="E31" s="27"/>
      <c r="F31" s="27"/>
      <c r="G31" s="27"/>
      <c r="H31" s="27"/>
      <c r="I31" s="27"/>
      <c r="J31" s="193"/>
      <c r="K31" s="26"/>
      <c r="L31" s="28" t="s">
        <v>49</v>
      </c>
      <c r="M31" s="28"/>
      <c r="N31" s="129"/>
      <c r="O31" s="152"/>
      <c r="P31" s="152"/>
      <c r="Q31" s="127">
        <f>+Q32+Q108</f>
        <v>4787000000</v>
      </c>
      <c r="R31" s="29">
        <f>+R32+R108</f>
        <v>4787000000</v>
      </c>
      <c r="S31" s="242"/>
      <c r="T31" s="30"/>
      <c r="U31" s="250"/>
      <c r="V31" s="297"/>
      <c r="W31" s="327"/>
      <c r="X31" s="29"/>
      <c r="Y31" s="29"/>
      <c r="Z31" s="356"/>
      <c r="AA31" s="356"/>
      <c r="AB31" s="356"/>
      <c r="AC31" s="356"/>
      <c r="AD31" s="356"/>
      <c r="AG31" s="273"/>
      <c r="AH31" s="273"/>
    </row>
    <row r="32" spans="2:34" ht="15" customHeight="1" x14ac:dyDescent="0.2">
      <c r="B32" s="41" t="s">
        <v>7</v>
      </c>
      <c r="C32" s="42" t="s">
        <v>20</v>
      </c>
      <c r="D32" s="42" t="s">
        <v>20</v>
      </c>
      <c r="E32" s="42" t="s">
        <v>8</v>
      </c>
      <c r="F32" s="42"/>
      <c r="G32" s="42"/>
      <c r="H32" s="42"/>
      <c r="I32" s="42"/>
      <c r="J32" s="194"/>
      <c r="K32" s="41"/>
      <c r="L32" s="43" t="s">
        <v>50</v>
      </c>
      <c r="M32" s="43"/>
      <c r="N32" s="130"/>
      <c r="O32" s="153"/>
      <c r="P32" s="153"/>
      <c r="Q32" s="125">
        <f>+Q33+Q37+Q52+Q85</f>
        <v>860900000</v>
      </c>
      <c r="R32" s="44">
        <f>+R33+R37+R52+R85</f>
        <v>910247000</v>
      </c>
      <c r="S32" s="42"/>
      <c r="T32" s="45"/>
      <c r="U32" s="251"/>
      <c r="V32" s="298"/>
      <c r="W32" s="328"/>
      <c r="X32" s="44"/>
      <c r="Y32" s="44"/>
      <c r="Z32" s="357"/>
      <c r="AA32" s="357"/>
      <c r="AB32" s="357"/>
      <c r="AC32" s="357"/>
      <c r="AD32" s="357"/>
      <c r="AG32" s="273"/>
      <c r="AH32" s="273"/>
    </row>
    <row r="33" spans="1:34" ht="15" customHeight="1" x14ac:dyDescent="0.2">
      <c r="B33" s="13" t="s">
        <v>7</v>
      </c>
      <c r="C33" s="14" t="s">
        <v>20</v>
      </c>
      <c r="D33" s="14" t="s">
        <v>20</v>
      </c>
      <c r="E33" s="14" t="s">
        <v>8</v>
      </c>
      <c r="F33" s="14" t="s">
        <v>155</v>
      </c>
      <c r="G33" s="14"/>
      <c r="H33" s="14"/>
      <c r="I33" s="14"/>
      <c r="J33" s="195"/>
      <c r="K33" s="13"/>
      <c r="L33" s="15" t="s">
        <v>156</v>
      </c>
      <c r="M33" s="15"/>
      <c r="N33" s="131"/>
      <c r="O33" s="154"/>
      <c r="P33" s="154"/>
      <c r="Q33" s="125">
        <f>+Q34</f>
        <v>10300000</v>
      </c>
      <c r="R33" s="16">
        <f>+R34</f>
        <v>9434673.1600000001</v>
      </c>
      <c r="S33" s="14"/>
      <c r="T33" s="17"/>
      <c r="U33" s="252"/>
      <c r="V33" s="299"/>
      <c r="W33" s="329"/>
      <c r="X33" s="16"/>
      <c r="Y33" s="16"/>
      <c r="Z33" s="353"/>
      <c r="AA33" s="353"/>
      <c r="AB33" s="353"/>
      <c r="AC33" s="353"/>
      <c r="AD33" s="353"/>
      <c r="AG33" s="273"/>
      <c r="AH33" s="273"/>
    </row>
    <row r="34" spans="1:34" ht="15" customHeight="1" x14ac:dyDescent="0.2">
      <c r="B34" s="91" t="s">
        <v>7</v>
      </c>
      <c r="C34" s="92" t="s">
        <v>20</v>
      </c>
      <c r="D34" s="92" t="s">
        <v>20</v>
      </c>
      <c r="E34" s="92" t="s">
        <v>8</v>
      </c>
      <c r="F34" s="92" t="s">
        <v>155</v>
      </c>
      <c r="G34" s="92" t="s">
        <v>9</v>
      </c>
      <c r="H34" s="92"/>
      <c r="I34" s="92"/>
      <c r="J34" s="196"/>
      <c r="K34" s="91"/>
      <c r="L34" s="93" t="s">
        <v>157</v>
      </c>
      <c r="M34" s="93"/>
      <c r="N34" s="132"/>
      <c r="O34" s="155"/>
      <c r="P34" s="155"/>
      <c r="Q34" s="125">
        <f>+Q35</f>
        <v>10300000</v>
      </c>
      <c r="R34" s="94">
        <f>+R35</f>
        <v>9434673.1600000001</v>
      </c>
      <c r="S34" s="92"/>
      <c r="T34" s="95"/>
      <c r="U34" s="244"/>
      <c r="V34" s="300"/>
      <c r="W34" s="330"/>
      <c r="X34" s="94"/>
      <c r="Y34" s="94"/>
      <c r="Z34" s="354"/>
      <c r="AA34" s="354"/>
      <c r="AB34" s="354"/>
      <c r="AC34" s="354"/>
      <c r="AD34" s="354"/>
      <c r="AG34" s="273"/>
      <c r="AH34" s="273"/>
    </row>
    <row r="35" spans="1:34" ht="15" customHeight="1" x14ac:dyDescent="0.2">
      <c r="B35" s="12" t="s">
        <v>7</v>
      </c>
      <c r="C35" s="7" t="s">
        <v>20</v>
      </c>
      <c r="D35" s="7" t="s">
        <v>20</v>
      </c>
      <c r="E35" s="7" t="s">
        <v>8</v>
      </c>
      <c r="F35" s="7" t="s">
        <v>155</v>
      </c>
      <c r="G35" s="7" t="s">
        <v>9</v>
      </c>
      <c r="H35" s="7" t="s">
        <v>28</v>
      </c>
      <c r="I35" s="7"/>
      <c r="J35" s="198"/>
      <c r="K35" s="12"/>
      <c r="L35" s="10" t="s">
        <v>184</v>
      </c>
      <c r="M35" s="10"/>
      <c r="N35" s="136"/>
      <c r="O35" s="159"/>
      <c r="P35" s="159"/>
      <c r="Q35" s="125">
        <v>10300000</v>
      </c>
      <c r="R35" s="8">
        <f>SUM(R36:R36)</f>
        <v>9434673.1600000001</v>
      </c>
      <c r="S35" s="185"/>
      <c r="T35" s="108"/>
      <c r="U35" s="255"/>
      <c r="V35" s="303"/>
      <c r="W35" s="333"/>
      <c r="X35" s="8"/>
      <c r="Y35" s="8"/>
      <c r="Z35" s="358"/>
      <c r="AA35" s="358"/>
      <c r="AB35" s="358"/>
      <c r="AC35" s="358"/>
      <c r="AD35" s="358"/>
      <c r="AG35" s="273"/>
      <c r="AH35" s="273"/>
    </row>
    <row r="36" spans="1:34" ht="30" customHeight="1" x14ac:dyDescent="0.2">
      <c r="B36" s="623"/>
      <c r="C36" s="624"/>
      <c r="D36" s="624"/>
      <c r="E36" s="624"/>
      <c r="F36" s="624"/>
      <c r="G36" s="624"/>
      <c r="H36" s="624"/>
      <c r="I36" s="624"/>
      <c r="J36" s="624"/>
      <c r="K36" s="177">
        <v>50201700</v>
      </c>
      <c r="L36" s="100" t="s">
        <v>372</v>
      </c>
      <c r="M36" s="134">
        <v>43840</v>
      </c>
      <c r="N36" s="134">
        <v>43900</v>
      </c>
      <c r="O36" s="157" t="s">
        <v>326</v>
      </c>
      <c r="P36" s="157" t="s">
        <v>360</v>
      </c>
      <c r="Q36" s="125"/>
      <c r="R36" s="101">
        <f>10300000-865326.84</f>
        <v>9434673.1600000001</v>
      </c>
      <c r="S36" s="182" t="s">
        <v>386</v>
      </c>
      <c r="T36" s="102"/>
      <c r="U36" s="253" t="s">
        <v>194</v>
      </c>
      <c r="V36" s="302">
        <v>3120</v>
      </c>
      <c r="W36" s="332">
        <v>43843</v>
      </c>
      <c r="X36" s="174">
        <v>10300000</v>
      </c>
      <c r="Y36" s="174">
        <v>9434673.1600000001</v>
      </c>
      <c r="Z36" s="352">
        <v>7434673.1500000004</v>
      </c>
      <c r="AA36" s="352">
        <f>+R36-Y36</f>
        <v>0</v>
      </c>
      <c r="AB36" s="352">
        <f>+Z36-AA36</f>
        <v>7434673.1500000004</v>
      </c>
      <c r="AC36" s="352">
        <f>IF(Z36=0,"0",IF(Z36&gt;0,Y36-Z36,))</f>
        <v>2000000.0099999998</v>
      </c>
      <c r="AD36" s="352">
        <f>+R36-Y36+AB36</f>
        <v>7434673.1500000004</v>
      </c>
      <c r="AG36" s="273"/>
      <c r="AH36" s="273"/>
    </row>
    <row r="37" spans="1:34" ht="30" customHeight="1" x14ac:dyDescent="0.2">
      <c r="B37" s="13" t="s">
        <v>7</v>
      </c>
      <c r="C37" s="14" t="s">
        <v>20</v>
      </c>
      <c r="D37" s="14" t="s">
        <v>20</v>
      </c>
      <c r="E37" s="14" t="s">
        <v>8</v>
      </c>
      <c r="F37" s="14" t="s">
        <v>10</v>
      </c>
      <c r="G37" s="14"/>
      <c r="H37" s="14"/>
      <c r="I37" s="14"/>
      <c r="J37" s="195"/>
      <c r="K37" s="13"/>
      <c r="L37" s="15" t="s">
        <v>51</v>
      </c>
      <c r="M37" s="15"/>
      <c r="N37" s="131"/>
      <c r="O37" s="154"/>
      <c r="P37" s="154"/>
      <c r="Q37" s="125">
        <f>+Q38+Q40+Q49+Q45</f>
        <v>203000000</v>
      </c>
      <c r="R37" s="16">
        <f>+R38+R40+R49+R45</f>
        <v>233078188</v>
      </c>
      <c r="S37" s="14"/>
      <c r="T37" s="17"/>
      <c r="U37" s="252"/>
      <c r="V37" s="299"/>
      <c r="W37" s="329"/>
      <c r="X37" s="16"/>
      <c r="Y37" s="16"/>
      <c r="Z37" s="353"/>
      <c r="AA37" s="353"/>
      <c r="AB37" s="353"/>
      <c r="AC37" s="353"/>
      <c r="AD37" s="353"/>
      <c r="AG37" s="273"/>
      <c r="AH37" s="273"/>
    </row>
    <row r="38" spans="1:34" ht="15" customHeight="1" x14ac:dyDescent="0.2">
      <c r="B38" s="91" t="s">
        <v>7</v>
      </c>
      <c r="C38" s="92" t="s">
        <v>20</v>
      </c>
      <c r="D38" s="92" t="s">
        <v>20</v>
      </c>
      <c r="E38" s="92" t="s">
        <v>8</v>
      </c>
      <c r="F38" s="92" t="s">
        <v>10</v>
      </c>
      <c r="G38" s="92" t="s">
        <v>10</v>
      </c>
      <c r="H38" s="92"/>
      <c r="I38" s="92"/>
      <c r="J38" s="196"/>
      <c r="K38" s="91"/>
      <c r="L38" s="93" t="s">
        <v>185</v>
      </c>
      <c r="M38" s="93"/>
      <c r="N38" s="132"/>
      <c r="O38" s="155"/>
      <c r="P38" s="155"/>
      <c r="Q38" s="125">
        <v>700000</v>
      </c>
      <c r="R38" s="94">
        <f>SUM(R39:R39)</f>
        <v>688521</v>
      </c>
      <c r="S38" s="92"/>
      <c r="T38" s="95"/>
      <c r="U38" s="244"/>
      <c r="V38" s="300"/>
      <c r="W38" s="330"/>
      <c r="X38" s="94"/>
      <c r="Y38" s="94"/>
      <c r="Z38" s="354"/>
      <c r="AA38" s="354"/>
      <c r="AB38" s="354"/>
      <c r="AC38" s="354"/>
      <c r="AD38" s="354"/>
      <c r="AG38" s="273"/>
      <c r="AH38" s="273"/>
    </row>
    <row r="39" spans="1:34" ht="30" customHeight="1" x14ac:dyDescent="0.2">
      <c r="A39" s="1" t="s">
        <v>430</v>
      </c>
      <c r="B39" s="623"/>
      <c r="C39" s="624"/>
      <c r="D39" s="624"/>
      <c r="E39" s="624"/>
      <c r="F39" s="624"/>
      <c r="G39" s="624"/>
      <c r="H39" s="624"/>
      <c r="I39" s="624"/>
      <c r="J39" s="624"/>
      <c r="K39" s="99">
        <v>50201700</v>
      </c>
      <c r="L39" s="100" t="s">
        <v>371</v>
      </c>
      <c r="M39" s="134">
        <v>43840</v>
      </c>
      <c r="N39" s="134">
        <v>43900</v>
      </c>
      <c r="O39" s="157" t="s">
        <v>326</v>
      </c>
      <c r="P39" s="157" t="s">
        <v>360</v>
      </c>
      <c r="Q39" s="125"/>
      <c r="R39" s="101">
        <f>700000-11479</f>
        <v>688521</v>
      </c>
      <c r="S39" s="182" t="s">
        <v>386</v>
      </c>
      <c r="T39" s="102"/>
      <c r="U39" s="253" t="s">
        <v>194</v>
      </c>
      <c r="V39" s="302">
        <v>3120</v>
      </c>
      <c r="W39" s="332">
        <v>43843</v>
      </c>
      <c r="X39" s="174">
        <v>700000</v>
      </c>
      <c r="Y39" s="174">
        <v>688521</v>
      </c>
      <c r="Z39" s="352">
        <v>688521</v>
      </c>
      <c r="AA39" s="352">
        <f>+R39-Y39</f>
        <v>0</v>
      </c>
      <c r="AB39" s="352">
        <f>+Z39-AA39</f>
        <v>688521</v>
      </c>
      <c r="AC39" s="352">
        <f>IF(Z39=0,"0",IF(Z39&gt;0,Y39-Z39,))</f>
        <v>0</v>
      </c>
      <c r="AD39" s="352">
        <f>+R39-Y39+AB39</f>
        <v>688521</v>
      </c>
      <c r="AG39" s="273"/>
      <c r="AH39" s="273"/>
    </row>
    <row r="40" spans="1:34" ht="30" customHeight="1" x14ac:dyDescent="0.2">
      <c r="B40" s="91" t="s">
        <v>7</v>
      </c>
      <c r="C40" s="92" t="s">
        <v>20</v>
      </c>
      <c r="D40" s="92" t="s">
        <v>20</v>
      </c>
      <c r="E40" s="92" t="s">
        <v>8</v>
      </c>
      <c r="F40" s="92" t="s">
        <v>10</v>
      </c>
      <c r="G40" s="92" t="s">
        <v>11</v>
      </c>
      <c r="H40" s="92"/>
      <c r="I40" s="92"/>
      <c r="J40" s="196"/>
      <c r="K40" s="91"/>
      <c r="L40" s="93" t="s">
        <v>52</v>
      </c>
      <c r="M40" s="93"/>
      <c r="N40" s="132"/>
      <c r="O40" s="155"/>
      <c r="P40" s="155"/>
      <c r="Q40" s="125">
        <f>+Q41+Q43</f>
        <v>7000000</v>
      </c>
      <c r="R40" s="94">
        <f>+R41+R43</f>
        <v>6772800</v>
      </c>
      <c r="S40" s="92"/>
      <c r="T40" s="95"/>
      <c r="U40" s="244"/>
      <c r="V40" s="300"/>
      <c r="W40" s="330"/>
      <c r="X40" s="94"/>
      <c r="Y40" s="94"/>
      <c r="Z40" s="354"/>
      <c r="AA40" s="354"/>
      <c r="AB40" s="354"/>
      <c r="AC40" s="354"/>
      <c r="AD40" s="354"/>
      <c r="AG40" s="273"/>
      <c r="AH40" s="273"/>
    </row>
    <row r="41" spans="1:34" ht="15" customHeight="1" x14ac:dyDescent="0.2">
      <c r="B41" s="11" t="s">
        <v>7</v>
      </c>
      <c r="C41" s="4" t="s">
        <v>20</v>
      </c>
      <c r="D41" s="4" t="s">
        <v>20</v>
      </c>
      <c r="E41" s="4" t="s">
        <v>8</v>
      </c>
      <c r="F41" s="4" t="s">
        <v>10</v>
      </c>
      <c r="G41" s="4" t="s">
        <v>11</v>
      </c>
      <c r="H41" s="4" t="s">
        <v>27</v>
      </c>
      <c r="I41" s="4"/>
      <c r="J41" s="197"/>
      <c r="K41" s="11"/>
      <c r="L41" s="6" t="s">
        <v>53</v>
      </c>
      <c r="M41" s="6"/>
      <c r="N41" s="133"/>
      <c r="O41" s="156"/>
      <c r="P41" s="156"/>
      <c r="Q41" s="125">
        <v>3000000</v>
      </c>
      <c r="R41" s="5">
        <f>SUM(R42:R42)</f>
        <v>2772800</v>
      </c>
      <c r="S41" s="181"/>
      <c r="T41" s="9"/>
      <c r="U41" s="245"/>
      <c r="V41" s="301"/>
      <c r="W41" s="331"/>
      <c r="X41" s="5"/>
      <c r="Y41" s="5"/>
      <c r="Z41" s="355"/>
      <c r="AA41" s="355"/>
      <c r="AB41" s="355"/>
      <c r="AC41" s="355"/>
      <c r="AD41" s="355"/>
      <c r="AG41" s="273"/>
      <c r="AH41" s="273"/>
    </row>
    <row r="42" spans="1:34" ht="30" customHeight="1" x14ac:dyDescent="0.2">
      <c r="B42" s="623"/>
      <c r="C42" s="624"/>
      <c r="D42" s="624"/>
      <c r="E42" s="624"/>
      <c r="F42" s="624"/>
      <c r="G42" s="624"/>
      <c r="H42" s="624"/>
      <c r="I42" s="624"/>
      <c r="J42" s="624"/>
      <c r="K42" s="177">
        <v>50161500</v>
      </c>
      <c r="L42" s="100" t="s">
        <v>370</v>
      </c>
      <c r="M42" s="134">
        <v>43840</v>
      </c>
      <c r="N42" s="134">
        <v>43900</v>
      </c>
      <c r="O42" s="157" t="s">
        <v>326</v>
      </c>
      <c r="P42" s="157" t="s">
        <v>360</v>
      </c>
      <c r="Q42" s="125"/>
      <c r="R42" s="101">
        <f>3000000-227200</f>
        <v>2772800</v>
      </c>
      <c r="S42" s="182" t="s">
        <v>386</v>
      </c>
      <c r="T42" s="102"/>
      <c r="U42" s="253" t="s">
        <v>194</v>
      </c>
      <c r="V42" s="617">
        <v>3120</v>
      </c>
      <c r="W42" s="602">
        <v>43843</v>
      </c>
      <c r="X42" s="614">
        <v>7000000</v>
      </c>
      <c r="Y42" s="614">
        <v>6772800</v>
      </c>
      <c r="Z42" s="620">
        <v>6772800</v>
      </c>
      <c r="AA42" s="620">
        <f>+R42+R44-Y42</f>
        <v>0</v>
      </c>
      <c r="AB42" s="593">
        <f>+Z42-AA42</f>
        <v>6772800</v>
      </c>
      <c r="AC42" s="593">
        <f>IF(Z42=0,"0",IF(Z42&gt;0,Y42-Z42,))</f>
        <v>0</v>
      </c>
      <c r="AD42" s="593">
        <f>+R42-Y42+AB42</f>
        <v>2772800</v>
      </c>
      <c r="AG42" s="273"/>
      <c r="AH42" s="273"/>
    </row>
    <row r="43" spans="1:34" ht="15" customHeight="1" x14ac:dyDescent="0.2">
      <c r="B43" s="11" t="s">
        <v>7</v>
      </c>
      <c r="C43" s="4" t="s">
        <v>20</v>
      </c>
      <c r="D43" s="4" t="s">
        <v>20</v>
      </c>
      <c r="E43" s="4" t="s">
        <v>8</v>
      </c>
      <c r="F43" s="4" t="s">
        <v>10</v>
      </c>
      <c r="G43" s="4" t="s">
        <v>11</v>
      </c>
      <c r="H43" s="4" t="s">
        <v>30</v>
      </c>
      <c r="I43" s="4"/>
      <c r="J43" s="197"/>
      <c r="K43" s="11"/>
      <c r="L43" s="6" t="s">
        <v>54</v>
      </c>
      <c r="M43" s="6"/>
      <c r="N43" s="133"/>
      <c r="O43" s="156"/>
      <c r="P43" s="156"/>
      <c r="Q43" s="125">
        <v>4000000</v>
      </c>
      <c r="R43" s="5">
        <f>SUM(R44:R44)</f>
        <v>4000000</v>
      </c>
      <c r="S43" s="181"/>
      <c r="T43" s="9"/>
      <c r="U43" s="245"/>
      <c r="V43" s="618"/>
      <c r="W43" s="603"/>
      <c r="X43" s="615"/>
      <c r="Y43" s="615"/>
      <c r="Z43" s="621"/>
      <c r="AA43" s="621"/>
      <c r="AB43" s="594"/>
      <c r="AC43" s="594"/>
      <c r="AD43" s="594"/>
      <c r="AG43" s="273"/>
      <c r="AH43" s="273"/>
    </row>
    <row r="44" spans="1:34" ht="30" customHeight="1" x14ac:dyDescent="0.2">
      <c r="B44" s="623"/>
      <c r="C44" s="624"/>
      <c r="D44" s="624"/>
      <c r="E44" s="624"/>
      <c r="F44" s="624"/>
      <c r="G44" s="624"/>
      <c r="H44" s="624"/>
      <c r="I44" s="624"/>
      <c r="J44" s="624"/>
      <c r="K44" s="99">
        <v>50201700</v>
      </c>
      <c r="L44" s="100" t="s">
        <v>369</v>
      </c>
      <c r="M44" s="134">
        <v>43840</v>
      </c>
      <c r="N44" s="134">
        <v>43900</v>
      </c>
      <c r="O44" s="157" t="s">
        <v>326</v>
      </c>
      <c r="P44" s="157" t="s">
        <v>360</v>
      </c>
      <c r="Q44" s="125"/>
      <c r="R44" s="101">
        <f>4000000</f>
        <v>4000000</v>
      </c>
      <c r="S44" s="182" t="s">
        <v>386</v>
      </c>
      <c r="T44" s="102"/>
      <c r="U44" s="253" t="s">
        <v>194</v>
      </c>
      <c r="V44" s="619"/>
      <c r="W44" s="604"/>
      <c r="X44" s="616"/>
      <c r="Y44" s="616"/>
      <c r="Z44" s="622"/>
      <c r="AA44" s="622"/>
      <c r="AB44" s="595"/>
      <c r="AC44" s="595"/>
      <c r="AD44" s="595"/>
      <c r="AG44" s="273"/>
      <c r="AH44" s="273"/>
    </row>
    <row r="45" spans="1:34" ht="15" customHeight="1" x14ac:dyDescent="0.2">
      <c r="B45" s="91" t="s">
        <v>7</v>
      </c>
      <c r="C45" s="92" t="s">
        <v>20</v>
      </c>
      <c r="D45" s="92" t="s">
        <v>20</v>
      </c>
      <c r="E45" s="92" t="s">
        <v>8</v>
      </c>
      <c r="F45" s="92" t="s">
        <v>10</v>
      </c>
      <c r="G45" s="92" t="s">
        <v>15</v>
      </c>
      <c r="H45" s="92"/>
      <c r="I45" s="92"/>
      <c r="J45" s="196"/>
      <c r="K45" s="91"/>
      <c r="L45" s="93" t="s">
        <v>55</v>
      </c>
      <c r="M45" s="93"/>
      <c r="N45" s="132"/>
      <c r="O45" s="155"/>
      <c r="P45" s="155"/>
      <c r="Q45" s="125">
        <v>48000000</v>
      </c>
      <c r="R45" s="94">
        <f>SUM(R46:R48)</f>
        <v>78366867</v>
      </c>
      <c r="S45" s="186"/>
      <c r="T45" s="95"/>
      <c r="U45" s="244"/>
      <c r="V45" s="300"/>
      <c r="W45" s="330"/>
      <c r="X45" s="94"/>
      <c r="Y45" s="94"/>
      <c r="Z45" s="354"/>
      <c r="AA45" s="354"/>
      <c r="AB45" s="354"/>
      <c r="AC45" s="354"/>
      <c r="AD45" s="354"/>
      <c r="AG45" s="273"/>
      <c r="AH45" s="273"/>
    </row>
    <row r="46" spans="1:34" ht="30" customHeight="1" x14ac:dyDescent="0.2">
      <c r="B46" s="623"/>
      <c r="C46" s="624"/>
      <c r="D46" s="624"/>
      <c r="E46" s="624"/>
      <c r="F46" s="624"/>
      <c r="G46" s="624"/>
      <c r="H46" s="624"/>
      <c r="I46" s="624"/>
      <c r="J46" s="624"/>
      <c r="K46" s="99">
        <v>14121500</v>
      </c>
      <c r="L46" s="178" t="s">
        <v>368</v>
      </c>
      <c r="M46" s="134">
        <v>43840</v>
      </c>
      <c r="N46" s="134">
        <v>43900</v>
      </c>
      <c r="O46" s="157" t="s">
        <v>326</v>
      </c>
      <c r="P46" s="157" t="s">
        <v>360</v>
      </c>
      <c r="Q46" s="125"/>
      <c r="R46" s="101">
        <f>1390000-1023133</f>
        <v>366867</v>
      </c>
      <c r="S46" s="182" t="s">
        <v>386</v>
      </c>
      <c r="T46" s="102"/>
      <c r="U46" s="253" t="s">
        <v>194</v>
      </c>
      <c r="V46" s="302">
        <v>3120</v>
      </c>
      <c r="W46" s="332">
        <v>43843</v>
      </c>
      <c r="X46" s="174">
        <v>1390000</v>
      </c>
      <c r="Y46" s="174">
        <v>366867</v>
      </c>
      <c r="Z46" s="352">
        <v>366867</v>
      </c>
      <c r="AA46" s="352">
        <f>+R46-Y46</f>
        <v>0</v>
      </c>
      <c r="AB46" s="352">
        <f>+Z46-AA46</f>
        <v>366867</v>
      </c>
      <c r="AC46" s="352">
        <f>IF(Z46=0,"0",IF(Z46&gt;0,Y46-Z46,))</f>
        <v>0</v>
      </c>
      <c r="AD46" s="352">
        <f>+R46-Y46+AB46</f>
        <v>366867</v>
      </c>
      <c r="AG46" s="273"/>
      <c r="AH46" s="273"/>
    </row>
    <row r="47" spans="1:34" ht="15" customHeight="1" x14ac:dyDescent="0.2">
      <c r="B47" s="625"/>
      <c r="C47" s="626"/>
      <c r="D47" s="626"/>
      <c r="E47" s="626"/>
      <c r="F47" s="626"/>
      <c r="G47" s="626"/>
      <c r="H47" s="626"/>
      <c r="I47" s="626"/>
      <c r="J47" s="626"/>
      <c r="K47" s="99"/>
      <c r="L47" s="100" t="s">
        <v>277</v>
      </c>
      <c r="M47" s="134">
        <v>43922</v>
      </c>
      <c r="N47" s="134">
        <v>43954</v>
      </c>
      <c r="O47" s="157" t="s">
        <v>307</v>
      </c>
      <c r="P47" s="157"/>
      <c r="Q47" s="125"/>
      <c r="R47" s="101">
        <v>68000000</v>
      </c>
      <c r="S47" s="182" t="s">
        <v>386</v>
      </c>
      <c r="T47" s="102"/>
      <c r="U47" s="253" t="s">
        <v>194</v>
      </c>
      <c r="V47" s="302">
        <v>14620</v>
      </c>
      <c r="W47" s="332">
        <v>43882</v>
      </c>
      <c r="X47" s="174">
        <v>68000000</v>
      </c>
      <c r="Y47" s="174">
        <v>68000000</v>
      </c>
      <c r="Z47" s="352">
        <v>0</v>
      </c>
      <c r="AA47" s="352">
        <f>+R47-Y47</f>
        <v>0</v>
      </c>
      <c r="AB47" s="352">
        <f>+Z47-AA47</f>
        <v>0</v>
      </c>
      <c r="AC47" s="352" t="str">
        <f>IF(Z47=0,"0",IF(Z47&gt;0,Y47-Z47,))</f>
        <v>0</v>
      </c>
      <c r="AD47" s="352">
        <f>+R47-Y47+AB47</f>
        <v>0</v>
      </c>
      <c r="AE47" s="380"/>
      <c r="AG47" s="273"/>
      <c r="AH47" s="273"/>
    </row>
    <row r="48" spans="1:34" ht="15" customHeight="1" x14ac:dyDescent="0.2">
      <c r="B48" s="625"/>
      <c r="C48" s="626"/>
      <c r="D48" s="626"/>
      <c r="E48" s="626"/>
      <c r="F48" s="626"/>
      <c r="G48" s="626"/>
      <c r="H48" s="626"/>
      <c r="I48" s="626"/>
      <c r="J48" s="626"/>
      <c r="K48" s="99"/>
      <c r="L48" s="100" t="s">
        <v>281</v>
      </c>
      <c r="M48" s="134">
        <v>43922</v>
      </c>
      <c r="N48" s="134">
        <v>43952</v>
      </c>
      <c r="O48" s="157" t="s">
        <v>307</v>
      </c>
      <c r="P48" s="157" t="s">
        <v>318</v>
      </c>
      <c r="Q48" s="125"/>
      <c r="R48" s="101">
        <v>10000000</v>
      </c>
      <c r="S48" s="182" t="s">
        <v>386</v>
      </c>
      <c r="T48" s="102"/>
      <c r="U48" s="253" t="s">
        <v>194</v>
      </c>
      <c r="V48" s="302"/>
      <c r="W48" s="332"/>
      <c r="X48" s="174"/>
      <c r="Y48" s="174"/>
      <c r="Z48" s="352"/>
      <c r="AA48" s="352">
        <f>+R48-Y48</f>
        <v>10000000</v>
      </c>
      <c r="AB48" s="352">
        <f>+Z48-AA48</f>
        <v>-10000000</v>
      </c>
      <c r="AC48" s="352" t="str">
        <f>IF(Z48=0,"0",IF(Z48&gt;0,Y48-Z48,))</f>
        <v>0</v>
      </c>
      <c r="AD48" s="352">
        <f>+R48-Y48+AB48</f>
        <v>0</v>
      </c>
      <c r="AG48" s="273"/>
      <c r="AH48" s="273"/>
    </row>
    <row r="49" spans="2:34" ht="15" customHeight="1" x14ac:dyDescent="0.2">
      <c r="B49" s="91" t="s">
        <v>7</v>
      </c>
      <c r="C49" s="92" t="s">
        <v>20</v>
      </c>
      <c r="D49" s="92" t="s">
        <v>20</v>
      </c>
      <c r="E49" s="92" t="s">
        <v>8</v>
      </c>
      <c r="F49" s="92" t="s">
        <v>10</v>
      </c>
      <c r="G49" s="92" t="s">
        <v>16</v>
      </c>
      <c r="H49" s="92"/>
      <c r="I49" s="92"/>
      <c r="J49" s="196"/>
      <c r="K49" s="91"/>
      <c r="L49" s="93" t="s">
        <v>56</v>
      </c>
      <c r="M49" s="93"/>
      <c r="N49" s="132"/>
      <c r="O49" s="155"/>
      <c r="P49" s="155"/>
      <c r="Q49" s="125">
        <f>65000000+73300000+9000000</f>
        <v>147300000</v>
      </c>
      <c r="R49" s="94">
        <f>SUM(R50:R51)</f>
        <v>147250000</v>
      </c>
      <c r="S49" s="92"/>
      <c r="T49" s="95"/>
      <c r="U49" s="244"/>
      <c r="V49" s="300"/>
      <c r="W49" s="330"/>
      <c r="X49" s="94"/>
      <c r="Y49" s="94"/>
      <c r="Z49" s="354"/>
      <c r="AA49" s="354"/>
      <c r="AB49" s="354"/>
      <c r="AC49" s="354"/>
      <c r="AD49" s="354"/>
      <c r="AG49" s="273"/>
      <c r="AH49" s="273"/>
    </row>
    <row r="50" spans="2:34" ht="30" customHeight="1" x14ac:dyDescent="0.2">
      <c r="B50" s="623"/>
      <c r="C50" s="624"/>
      <c r="D50" s="624"/>
      <c r="E50" s="624"/>
      <c r="F50" s="624"/>
      <c r="G50" s="624"/>
      <c r="H50" s="624"/>
      <c r="I50" s="624"/>
      <c r="J50" s="624"/>
      <c r="K50" s="99"/>
      <c r="L50" s="100" t="s">
        <v>183</v>
      </c>
      <c r="M50" s="134">
        <v>43841</v>
      </c>
      <c r="N50" s="134">
        <v>43872</v>
      </c>
      <c r="O50" s="157" t="s">
        <v>307</v>
      </c>
      <c r="P50" s="157" t="s">
        <v>319</v>
      </c>
      <c r="Q50" s="125"/>
      <c r="R50" s="101">
        <v>65000000</v>
      </c>
      <c r="S50" s="182" t="s">
        <v>386</v>
      </c>
      <c r="T50" s="102"/>
      <c r="U50" s="253" t="s">
        <v>194</v>
      </c>
      <c r="V50" s="302">
        <v>6120</v>
      </c>
      <c r="W50" s="332">
        <v>43850</v>
      </c>
      <c r="X50" s="174">
        <v>65000000</v>
      </c>
      <c r="Y50" s="174">
        <v>65000000</v>
      </c>
      <c r="Z50" s="352">
        <v>59972883.68</v>
      </c>
      <c r="AA50" s="352">
        <f>+R50-Y50</f>
        <v>0</v>
      </c>
      <c r="AB50" s="352">
        <f>+Z50-AA50</f>
        <v>59972883.68</v>
      </c>
      <c r="AC50" s="352">
        <f>IF(Z50=0,"0",IF(Z50&gt;0,Y50-Z50,))</f>
        <v>5027116.32</v>
      </c>
      <c r="AD50" s="352">
        <f>+R50-Y50+AB50</f>
        <v>59972883.68</v>
      </c>
      <c r="AG50" s="273"/>
      <c r="AH50" s="273"/>
    </row>
    <row r="51" spans="2:34" ht="15" customHeight="1" x14ac:dyDescent="0.2">
      <c r="B51" s="625"/>
      <c r="C51" s="626"/>
      <c r="D51" s="626"/>
      <c r="E51" s="626"/>
      <c r="F51" s="626"/>
      <c r="G51" s="626"/>
      <c r="H51" s="626"/>
      <c r="I51" s="626"/>
      <c r="J51" s="626"/>
      <c r="K51" s="99"/>
      <c r="L51" s="100" t="s">
        <v>278</v>
      </c>
      <c r="M51" s="134">
        <v>43922</v>
      </c>
      <c r="N51" s="134">
        <v>43954</v>
      </c>
      <c r="O51" s="157" t="s">
        <v>307</v>
      </c>
      <c r="P51" s="157" t="s">
        <v>319</v>
      </c>
      <c r="Q51" s="125"/>
      <c r="R51" s="101">
        <v>82250000</v>
      </c>
      <c r="S51" s="182" t="s">
        <v>386</v>
      </c>
      <c r="T51" s="102"/>
      <c r="U51" s="253" t="s">
        <v>194</v>
      </c>
      <c r="V51" s="302">
        <v>14620</v>
      </c>
      <c r="W51" s="332">
        <v>43882</v>
      </c>
      <c r="X51" s="174">
        <v>82250000</v>
      </c>
      <c r="Y51" s="174">
        <v>82250000</v>
      </c>
      <c r="Z51" s="352">
        <v>0</v>
      </c>
      <c r="AA51" s="352">
        <f>+R51-Y51</f>
        <v>0</v>
      </c>
      <c r="AB51" s="352">
        <f>+Z51-AA51</f>
        <v>0</v>
      </c>
      <c r="AC51" s="352" t="str">
        <f>IF(Z51=0,"0",IF(Z51&gt;0,Y51-Z51,))</f>
        <v>0</v>
      </c>
      <c r="AD51" s="352">
        <f>+R51-Y51+AB51</f>
        <v>0</v>
      </c>
      <c r="AG51" s="273"/>
      <c r="AH51" s="273"/>
    </row>
    <row r="52" spans="2:34" ht="30" customHeight="1" x14ac:dyDescent="0.2">
      <c r="B52" s="13" t="s">
        <v>7</v>
      </c>
      <c r="C52" s="14" t="s">
        <v>20</v>
      </c>
      <c r="D52" s="14" t="s">
        <v>20</v>
      </c>
      <c r="E52" s="14" t="s">
        <v>8</v>
      </c>
      <c r="F52" s="14" t="s">
        <v>11</v>
      </c>
      <c r="G52" s="14"/>
      <c r="H52" s="14"/>
      <c r="I52" s="14"/>
      <c r="J52" s="195"/>
      <c r="K52" s="13"/>
      <c r="L52" s="15" t="s">
        <v>57</v>
      </c>
      <c r="M52" s="15"/>
      <c r="N52" s="131"/>
      <c r="O52" s="154"/>
      <c r="P52" s="154"/>
      <c r="Q52" s="125">
        <f>+Q53+Q60+Q68+Q65+Q73+Q82</f>
        <v>387300000</v>
      </c>
      <c r="R52" s="16">
        <f>+R53+R60+R68+R65+R73+R82</f>
        <v>406777138.84000003</v>
      </c>
      <c r="S52" s="14"/>
      <c r="T52" s="17"/>
      <c r="U52" s="252"/>
      <c r="V52" s="299"/>
      <c r="W52" s="329"/>
      <c r="X52" s="16"/>
      <c r="Y52" s="16"/>
      <c r="Z52" s="353"/>
      <c r="AA52" s="353"/>
      <c r="AB52" s="353"/>
      <c r="AC52" s="353"/>
      <c r="AD52" s="353"/>
      <c r="AG52" s="273"/>
      <c r="AH52" s="273"/>
    </row>
    <row r="53" spans="2:34" ht="30" customHeight="1" x14ac:dyDescent="0.2">
      <c r="B53" s="91" t="s">
        <v>7</v>
      </c>
      <c r="C53" s="92" t="s">
        <v>20</v>
      </c>
      <c r="D53" s="92" t="s">
        <v>20</v>
      </c>
      <c r="E53" s="92" t="s">
        <v>8</v>
      </c>
      <c r="F53" s="92" t="s">
        <v>11</v>
      </c>
      <c r="G53" s="92" t="s">
        <v>10</v>
      </c>
      <c r="H53" s="92"/>
      <c r="I53" s="92"/>
      <c r="J53" s="196"/>
      <c r="K53" s="91"/>
      <c r="L53" s="93" t="s">
        <v>58</v>
      </c>
      <c r="M53" s="93"/>
      <c r="N53" s="132"/>
      <c r="O53" s="155"/>
      <c r="P53" s="155"/>
      <c r="Q53" s="125">
        <f>+Q54+Q57</f>
        <v>92500000</v>
      </c>
      <c r="R53" s="94">
        <f>+R54+R57</f>
        <v>101073045.11</v>
      </c>
      <c r="S53" s="92"/>
      <c r="T53" s="95"/>
      <c r="U53" s="244"/>
      <c r="V53" s="300"/>
      <c r="W53" s="330"/>
      <c r="X53" s="94"/>
      <c r="Y53" s="94"/>
      <c r="Z53" s="354"/>
      <c r="AA53" s="354"/>
      <c r="AB53" s="354"/>
      <c r="AC53" s="354"/>
      <c r="AD53" s="354"/>
      <c r="AG53" s="273"/>
      <c r="AH53" s="273"/>
    </row>
    <row r="54" spans="2:34" ht="15" customHeight="1" x14ac:dyDescent="0.2">
      <c r="B54" s="11" t="s">
        <v>7</v>
      </c>
      <c r="C54" s="4" t="s">
        <v>20</v>
      </c>
      <c r="D54" s="4" t="s">
        <v>20</v>
      </c>
      <c r="E54" s="4" t="s">
        <v>8</v>
      </c>
      <c r="F54" s="4" t="s">
        <v>11</v>
      </c>
      <c r="G54" s="4" t="s">
        <v>10</v>
      </c>
      <c r="H54" s="4" t="s">
        <v>8</v>
      </c>
      <c r="I54" s="4"/>
      <c r="J54" s="197"/>
      <c r="K54" s="11"/>
      <c r="L54" s="6" t="s">
        <v>59</v>
      </c>
      <c r="M54" s="6"/>
      <c r="N54" s="133"/>
      <c r="O54" s="156"/>
      <c r="P54" s="156"/>
      <c r="Q54" s="125">
        <v>85000000</v>
      </c>
      <c r="R54" s="5">
        <f>SUM(R55:R56)</f>
        <v>89773045.109999999</v>
      </c>
      <c r="S54" s="181"/>
      <c r="T54" s="9"/>
      <c r="U54" s="245"/>
      <c r="V54" s="301"/>
      <c r="W54" s="331"/>
      <c r="X54" s="5"/>
      <c r="Y54" s="5"/>
      <c r="Z54" s="355"/>
      <c r="AA54" s="355"/>
      <c r="AB54" s="355"/>
      <c r="AC54" s="355"/>
      <c r="AD54" s="355"/>
      <c r="AG54" s="273"/>
      <c r="AH54" s="273"/>
    </row>
    <row r="55" spans="2:34" ht="135" customHeight="1" x14ac:dyDescent="0.2">
      <c r="B55" s="623"/>
      <c r="C55" s="624"/>
      <c r="D55" s="624"/>
      <c r="E55" s="624"/>
      <c r="F55" s="624"/>
      <c r="G55" s="624"/>
      <c r="H55" s="624"/>
      <c r="I55" s="624"/>
      <c r="J55" s="624"/>
      <c r="K55" s="177" t="s">
        <v>312</v>
      </c>
      <c r="L55" s="178" t="s">
        <v>218</v>
      </c>
      <c r="M55" s="134">
        <v>43862</v>
      </c>
      <c r="N55" s="134">
        <v>43891</v>
      </c>
      <c r="O55" s="157" t="s">
        <v>362</v>
      </c>
      <c r="P55" s="157" t="s">
        <v>401</v>
      </c>
      <c r="Q55" s="125"/>
      <c r="R55" s="101">
        <v>80000000</v>
      </c>
      <c r="S55" s="182" t="s">
        <v>386</v>
      </c>
      <c r="T55" s="102"/>
      <c r="U55" s="253" t="s">
        <v>222</v>
      </c>
      <c r="V55" s="302">
        <v>10920</v>
      </c>
      <c r="W55" s="332">
        <v>43865</v>
      </c>
      <c r="X55" s="174">
        <v>80000000</v>
      </c>
      <c r="Y55" s="174">
        <v>80000000</v>
      </c>
      <c r="Z55" s="352">
        <v>0</v>
      </c>
      <c r="AA55" s="352">
        <f>+R55-Y55</f>
        <v>0</v>
      </c>
      <c r="AB55" s="352">
        <f>+Z55-AA55</f>
        <v>0</v>
      </c>
      <c r="AC55" s="352" t="str">
        <f>IF(Z55=0,"0",IF(Z55&gt;0,Y55-Z55,))</f>
        <v>0</v>
      </c>
      <c r="AD55" s="352">
        <f>+R55-Y55+AB55</f>
        <v>0</v>
      </c>
      <c r="AG55" s="273"/>
      <c r="AH55" s="273"/>
    </row>
    <row r="56" spans="2:34" ht="45" customHeight="1" x14ac:dyDescent="0.2">
      <c r="B56" s="625"/>
      <c r="C56" s="626"/>
      <c r="D56" s="626"/>
      <c r="E56" s="626"/>
      <c r="F56" s="626"/>
      <c r="G56" s="626"/>
      <c r="H56" s="626"/>
      <c r="I56" s="626"/>
      <c r="J56" s="626"/>
      <c r="K56" s="177" t="s">
        <v>361</v>
      </c>
      <c r="L56" s="178" t="s">
        <v>367</v>
      </c>
      <c r="M56" s="134">
        <v>43840</v>
      </c>
      <c r="N56" s="134">
        <v>43900</v>
      </c>
      <c r="O56" s="157" t="s">
        <v>326</v>
      </c>
      <c r="P56" s="157" t="s">
        <v>360</v>
      </c>
      <c r="Q56" s="125"/>
      <c r="R56" s="101">
        <f>11070000-1296954.89</f>
        <v>9773045.1099999994</v>
      </c>
      <c r="S56" s="182" t="s">
        <v>386</v>
      </c>
      <c r="T56" s="102"/>
      <c r="U56" s="253" t="s">
        <v>194</v>
      </c>
      <c r="V56" s="302">
        <v>3120</v>
      </c>
      <c r="W56" s="332">
        <v>43843</v>
      </c>
      <c r="X56" s="174">
        <v>11070000</v>
      </c>
      <c r="Y56" s="174">
        <v>9773045.1099999994</v>
      </c>
      <c r="Z56" s="352">
        <v>7273045</v>
      </c>
      <c r="AA56" s="352">
        <f>+R56-Y56</f>
        <v>0</v>
      </c>
      <c r="AB56" s="352">
        <f>+Z56-AA56</f>
        <v>7273045</v>
      </c>
      <c r="AC56" s="352">
        <f>IF(Z56=0,"0",IF(Z56&gt;0,Y56-Z56,))</f>
        <v>2500000.1099999994</v>
      </c>
      <c r="AD56" s="352">
        <f>+R56-Y56+AB56</f>
        <v>7273045</v>
      </c>
      <c r="AG56" s="273"/>
      <c r="AH56" s="273"/>
    </row>
    <row r="57" spans="2:34" ht="30" customHeight="1" x14ac:dyDescent="0.2">
      <c r="B57" s="11" t="s">
        <v>7</v>
      </c>
      <c r="C57" s="4" t="s">
        <v>20</v>
      </c>
      <c r="D57" s="4" t="s">
        <v>20</v>
      </c>
      <c r="E57" s="4" t="s">
        <v>8</v>
      </c>
      <c r="F57" s="4" t="s">
        <v>11</v>
      </c>
      <c r="G57" s="4" t="s">
        <v>10</v>
      </c>
      <c r="H57" s="4" t="s">
        <v>24</v>
      </c>
      <c r="I57" s="4"/>
      <c r="J57" s="197"/>
      <c r="K57" s="11"/>
      <c r="L57" s="6" t="s">
        <v>138</v>
      </c>
      <c r="M57" s="6"/>
      <c r="N57" s="133"/>
      <c r="O57" s="156"/>
      <c r="P57" s="156"/>
      <c r="Q57" s="125">
        <v>7500000</v>
      </c>
      <c r="R57" s="5">
        <f>SUM(R58:R59)</f>
        <v>11300000</v>
      </c>
      <c r="S57" s="181"/>
      <c r="T57" s="9"/>
      <c r="U57" s="245"/>
      <c r="V57" s="301"/>
      <c r="W57" s="331"/>
      <c r="X57" s="5"/>
      <c r="Y57" s="5"/>
      <c r="Z57" s="355"/>
      <c r="AA57" s="355"/>
      <c r="AB57" s="355"/>
      <c r="AC57" s="355"/>
      <c r="AD57" s="355"/>
      <c r="AG57" s="273"/>
      <c r="AH57" s="273"/>
    </row>
    <row r="58" spans="2:34" ht="15" customHeight="1" x14ac:dyDescent="0.2">
      <c r="B58" s="623"/>
      <c r="C58" s="624"/>
      <c r="D58" s="624"/>
      <c r="E58" s="624"/>
      <c r="F58" s="624"/>
      <c r="G58" s="624"/>
      <c r="H58" s="624"/>
      <c r="I58" s="624"/>
      <c r="J58" s="624"/>
      <c r="K58" s="99"/>
      <c r="L58" s="100" t="s">
        <v>239</v>
      </c>
      <c r="M58" s="134">
        <v>43893</v>
      </c>
      <c r="N58" s="134">
        <v>43924</v>
      </c>
      <c r="O58" s="157" t="s">
        <v>296</v>
      </c>
      <c r="P58" s="157" t="s">
        <v>318</v>
      </c>
      <c r="Q58" s="125"/>
      <c r="R58" s="101">
        <v>6000000</v>
      </c>
      <c r="S58" s="182" t="s">
        <v>386</v>
      </c>
      <c r="T58" s="102"/>
      <c r="U58" s="253" t="s">
        <v>253</v>
      </c>
      <c r="V58" s="302"/>
      <c r="W58" s="332"/>
      <c r="X58" s="174"/>
      <c r="Y58" s="174"/>
      <c r="Z58" s="352"/>
      <c r="AA58" s="352">
        <f>+R58-Y58</f>
        <v>6000000</v>
      </c>
      <c r="AB58" s="352">
        <f>+Z58-AA58</f>
        <v>-6000000</v>
      </c>
      <c r="AC58" s="352" t="str">
        <f>IF(Z58=0,"0",IF(Z58&gt;0,Y58-Z58,))</f>
        <v>0</v>
      </c>
      <c r="AD58" s="352">
        <f>+R58-Y58+AB58</f>
        <v>0</v>
      </c>
      <c r="AG58" s="273"/>
      <c r="AH58" s="273"/>
    </row>
    <row r="59" spans="2:34" ht="75" customHeight="1" x14ac:dyDescent="0.2">
      <c r="B59" s="625"/>
      <c r="C59" s="626"/>
      <c r="D59" s="626"/>
      <c r="E59" s="626"/>
      <c r="F59" s="626"/>
      <c r="G59" s="626"/>
      <c r="H59" s="626"/>
      <c r="I59" s="626"/>
      <c r="J59" s="626"/>
      <c r="K59" s="113"/>
      <c r="L59" s="114" t="s">
        <v>240</v>
      </c>
      <c r="M59" s="114"/>
      <c r="N59" s="137"/>
      <c r="O59" s="160"/>
      <c r="P59" s="160"/>
      <c r="Q59" s="125"/>
      <c r="R59" s="115">
        <v>5300000</v>
      </c>
      <c r="S59" s="187"/>
      <c r="T59" s="116"/>
      <c r="U59" s="256"/>
      <c r="V59" s="302" t="s">
        <v>432</v>
      </c>
      <c r="W59" s="332" t="s">
        <v>433</v>
      </c>
      <c r="X59" s="174">
        <f>800000+800000+14317+137250+4779</f>
        <v>1756346</v>
      </c>
      <c r="Y59" s="174">
        <v>800000</v>
      </c>
      <c r="Z59" s="352">
        <v>0</v>
      </c>
      <c r="AA59" s="352">
        <f>+R59-Y59</f>
        <v>4500000</v>
      </c>
      <c r="AB59" s="352">
        <f>+Z59-AA59</f>
        <v>-4500000</v>
      </c>
      <c r="AC59" s="352" t="str">
        <f>IF(Z59=0,"0",IF(Z59&gt;0,Y59-Z59,))</f>
        <v>0</v>
      </c>
      <c r="AD59" s="352">
        <f>+R59-Y59+AB59</f>
        <v>0</v>
      </c>
      <c r="AG59" s="273"/>
      <c r="AH59" s="273"/>
    </row>
    <row r="60" spans="2:34" ht="30" customHeight="1" x14ac:dyDescent="0.2">
      <c r="B60" s="91" t="s">
        <v>7</v>
      </c>
      <c r="C60" s="92" t="s">
        <v>20</v>
      </c>
      <c r="D60" s="92" t="s">
        <v>20</v>
      </c>
      <c r="E60" s="92" t="s">
        <v>8</v>
      </c>
      <c r="F60" s="92" t="s">
        <v>11</v>
      </c>
      <c r="G60" s="92" t="s">
        <v>11</v>
      </c>
      <c r="H60" s="92"/>
      <c r="I60" s="92"/>
      <c r="J60" s="196"/>
      <c r="K60" s="91"/>
      <c r="L60" s="93" t="s">
        <v>60</v>
      </c>
      <c r="M60" s="93"/>
      <c r="N60" s="132"/>
      <c r="O60" s="155"/>
      <c r="P60" s="155"/>
      <c r="Q60" s="125">
        <f>+Q61+Q63</f>
        <v>99000000</v>
      </c>
      <c r="R60" s="94">
        <f>+R61+R63</f>
        <v>99000000</v>
      </c>
      <c r="S60" s="92"/>
      <c r="T60" s="95"/>
      <c r="U60" s="244"/>
      <c r="V60" s="300"/>
      <c r="W60" s="330"/>
      <c r="X60" s="94"/>
      <c r="Y60" s="94"/>
      <c r="Z60" s="354"/>
      <c r="AA60" s="354"/>
      <c r="AB60" s="354"/>
      <c r="AC60" s="354"/>
      <c r="AD60" s="354"/>
      <c r="AG60" s="273"/>
      <c r="AH60" s="273"/>
    </row>
    <row r="61" spans="2:34" ht="60" customHeight="1" x14ac:dyDescent="0.2">
      <c r="B61" s="11" t="s">
        <v>7</v>
      </c>
      <c r="C61" s="4" t="s">
        <v>20</v>
      </c>
      <c r="D61" s="4" t="s">
        <v>20</v>
      </c>
      <c r="E61" s="4" t="s">
        <v>8</v>
      </c>
      <c r="F61" s="4" t="s">
        <v>11</v>
      </c>
      <c r="G61" s="4" t="s">
        <v>11</v>
      </c>
      <c r="H61" s="4" t="s">
        <v>23</v>
      </c>
      <c r="I61" s="4"/>
      <c r="J61" s="197"/>
      <c r="K61" s="11"/>
      <c r="L61" s="6" t="s">
        <v>241</v>
      </c>
      <c r="M61" s="6"/>
      <c r="N61" s="133"/>
      <c r="O61" s="156"/>
      <c r="P61" s="156"/>
      <c r="Q61" s="125">
        <v>10000000</v>
      </c>
      <c r="R61" s="5">
        <f>SUM(R62:R62)</f>
        <v>10000000</v>
      </c>
      <c r="S61" s="181"/>
      <c r="T61" s="9"/>
      <c r="U61" s="245"/>
      <c r="V61" s="301"/>
      <c r="W61" s="331"/>
      <c r="X61" s="5"/>
      <c r="Y61" s="5"/>
      <c r="Z61" s="355"/>
      <c r="AA61" s="355"/>
      <c r="AB61" s="355"/>
      <c r="AC61" s="355"/>
      <c r="AD61" s="355"/>
      <c r="AG61" s="273"/>
      <c r="AH61" s="273"/>
    </row>
    <row r="62" spans="2:34" ht="15" customHeight="1" x14ac:dyDescent="0.2">
      <c r="B62" s="623"/>
      <c r="C62" s="624"/>
      <c r="D62" s="624"/>
      <c r="E62" s="624"/>
      <c r="F62" s="624"/>
      <c r="G62" s="624"/>
      <c r="H62" s="624"/>
      <c r="I62" s="624"/>
      <c r="J62" s="624"/>
      <c r="K62" s="99">
        <v>15121500</v>
      </c>
      <c r="L62" s="100" t="s">
        <v>242</v>
      </c>
      <c r="M62" s="134">
        <v>43840</v>
      </c>
      <c r="N62" s="134">
        <v>43860</v>
      </c>
      <c r="O62" s="157" t="s">
        <v>326</v>
      </c>
      <c r="P62" s="157" t="s">
        <v>318</v>
      </c>
      <c r="Q62" s="125"/>
      <c r="R62" s="101">
        <v>10000000</v>
      </c>
      <c r="S62" s="182" t="s">
        <v>386</v>
      </c>
      <c r="T62" s="102"/>
      <c r="U62" s="253" t="s">
        <v>267</v>
      </c>
      <c r="V62" s="302">
        <v>2520</v>
      </c>
      <c r="W62" s="332">
        <v>43839</v>
      </c>
      <c r="X62" s="174">
        <v>10000000</v>
      </c>
      <c r="Y62" s="174">
        <v>10000000</v>
      </c>
      <c r="Z62" s="352">
        <v>10000000</v>
      </c>
      <c r="AA62" s="352">
        <f>+R62-Y62</f>
        <v>0</v>
      </c>
      <c r="AB62" s="352">
        <f>+Z62-AA62</f>
        <v>10000000</v>
      </c>
      <c r="AC62" s="352">
        <f>IF(Z62=0,"0",IF(Z62&gt;0,Y62-Z62,))</f>
        <v>0</v>
      </c>
      <c r="AD62" s="352">
        <f>+R62-Y62+AB62</f>
        <v>10000000</v>
      </c>
      <c r="AG62" s="273"/>
      <c r="AH62" s="273"/>
    </row>
    <row r="63" spans="2:34" ht="30" customHeight="1" x14ac:dyDescent="0.2">
      <c r="B63" s="11" t="s">
        <v>7</v>
      </c>
      <c r="C63" s="4" t="s">
        <v>20</v>
      </c>
      <c r="D63" s="4" t="s">
        <v>20</v>
      </c>
      <c r="E63" s="4" t="s">
        <v>8</v>
      </c>
      <c r="F63" s="4" t="s">
        <v>11</v>
      </c>
      <c r="G63" s="4" t="s">
        <v>11</v>
      </c>
      <c r="H63" s="4" t="s">
        <v>24</v>
      </c>
      <c r="I63" s="4"/>
      <c r="J63" s="197"/>
      <c r="K63" s="11"/>
      <c r="L63" s="6" t="s">
        <v>61</v>
      </c>
      <c r="M63" s="6"/>
      <c r="N63" s="133"/>
      <c r="O63" s="156"/>
      <c r="P63" s="156"/>
      <c r="Q63" s="125">
        <v>89000000</v>
      </c>
      <c r="R63" s="5">
        <f>SUM(R64:R64)</f>
        <v>89000000</v>
      </c>
      <c r="S63" s="181"/>
      <c r="T63" s="9"/>
      <c r="U63" s="245"/>
      <c r="V63" s="301"/>
      <c r="W63" s="331"/>
      <c r="X63" s="5"/>
      <c r="Y63" s="5"/>
      <c r="Z63" s="355"/>
      <c r="AA63" s="355"/>
      <c r="AB63" s="355"/>
      <c r="AC63" s="355"/>
      <c r="AD63" s="355"/>
      <c r="AG63" s="273"/>
      <c r="AH63" s="273"/>
    </row>
    <row r="64" spans="2:34" ht="15" customHeight="1" x14ac:dyDescent="0.2">
      <c r="B64" s="623"/>
      <c r="C64" s="624"/>
      <c r="D64" s="624"/>
      <c r="E64" s="624"/>
      <c r="F64" s="624"/>
      <c r="G64" s="624"/>
      <c r="H64" s="624"/>
      <c r="I64" s="624"/>
      <c r="J64" s="624"/>
      <c r="K64" s="99">
        <v>15101500</v>
      </c>
      <c r="L64" s="100" t="s">
        <v>238</v>
      </c>
      <c r="M64" s="134">
        <v>43881</v>
      </c>
      <c r="N64" s="134">
        <v>43890</v>
      </c>
      <c r="O64" s="157" t="s">
        <v>301</v>
      </c>
      <c r="P64" s="157" t="s">
        <v>382</v>
      </c>
      <c r="Q64" s="125"/>
      <c r="R64" s="101">
        <v>89000000</v>
      </c>
      <c r="S64" s="182" t="s">
        <v>386</v>
      </c>
      <c r="T64" s="102"/>
      <c r="U64" s="253" t="s">
        <v>267</v>
      </c>
      <c r="V64" s="302">
        <v>2420</v>
      </c>
      <c r="W64" s="332">
        <v>43839</v>
      </c>
      <c r="X64" s="174">
        <v>89000000</v>
      </c>
      <c r="Y64" s="174">
        <v>89000000</v>
      </c>
      <c r="Z64" s="352">
        <v>89000000</v>
      </c>
      <c r="AA64" s="352">
        <f>+R64-Y64</f>
        <v>0</v>
      </c>
      <c r="AB64" s="352">
        <f>+Z64-AA64</f>
        <v>89000000</v>
      </c>
      <c r="AC64" s="352">
        <f>IF(Z64=0,"0",IF(Z64&gt;0,Y64-Z64,))</f>
        <v>0</v>
      </c>
      <c r="AD64" s="352">
        <f>+R64-Y64+AB64</f>
        <v>89000000</v>
      </c>
      <c r="AG64" s="273"/>
      <c r="AH64" s="273"/>
    </row>
    <row r="65" spans="2:34" ht="15" customHeight="1" x14ac:dyDescent="0.2">
      <c r="B65" s="91" t="s">
        <v>7</v>
      </c>
      <c r="C65" s="92" t="s">
        <v>20</v>
      </c>
      <c r="D65" s="92" t="s">
        <v>20</v>
      </c>
      <c r="E65" s="92" t="s">
        <v>8</v>
      </c>
      <c r="F65" s="92" t="s">
        <v>11</v>
      </c>
      <c r="G65" s="92" t="s">
        <v>12</v>
      </c>
      <c r="H65" s="92"/>
      <c r="I65" s="92"/>
      <c r="J65" s="196"/>
      <c r="K65" s="91"/>
      <c r="L65" s="93" t="s">
        <v>62</v>
      </c>
      <c r="M65" s="93"/>
      <c r="N65" s="132"/>
      <c r="O65" s="155"/>
      <c r="P65" s="155"/>
      <c r="Q65" s="125">
        <f>+Q66</f>
        <v>3000000</v>
      </c>
      <c r="R65" s="94">
        <f>+R66</f>
        <v>1097051.1200000001</v>
      </c>
      <c r="S65" s="92"/>
      <c r="T65" s="95"/>
      <c r="U65" s="244"/>
      <c r="V65" s="300"/>
      <c r="W65" s="330"/>
      <c r="X65" s="94"/>
      <c r="Y65" s="94"/>
      <c r="Z65" s="354"/>
      <c r="AA65" s="354"/>
      <c r="AB65" s="354"/>
      <c r="AC65" s="354"/>
      <c r="AD65" s="354"/>
      <c r="AG65" s="273"/>
      <c r="AH65" s="273"/>
    </row>
    <row r="66" spans="2:34" ht="15" customHeight="1" x14ac:dyDescent="0.2">
      <c r="B66" s="11" t="s">
        <v>7</v>
      </c>
      <c r="C66" s="4" t="s">
        <v>20</v>
      </c>
      <c r="D66" s="4" t="s">
        <v>20</v>
      </c>
      <c r="E66" s="4" t="s">
        <v>8</v>
      </c>
      <c r="F66" s="4" t="s">
        <v>11</v>
      </c>
      <c r="G66" s="4" t="s">
        <v>12</v>
      </c>
      <c r="H66" s="4" t="s">
        <v>28</v>
      </c>
      <c r="I66" s="4"/>
      <c r="J66" s="197"/>
      <c r="K66" s="11"/>
      <c r="L66" s="6" t="s">
        <v>63</v>
      </c>
      <c r="M66" s="6"/>
      <c r="N66" s="133"/>
      <c r="O66" s="156"/>
      <c r="P66" s="156"/>
      <c r="Q66" s="125">
        <v>3000000</v>
      </c>
      <c r="R66" s="5">
        <f>SUM(R67:R67)</f>
        <v>1097051.1200000001</v>
      </c>
      <c r="S66" s="181"/>
      <c r="T66" s="9"/>
      <c r="U66" s="245"/>
      <c r="V66" s="301"/>
      <c r="W66" s="331"/>
      <c r="X66" s="5"/>
      <c r="Y66" s="5"/>
      <c r="Z66" s="355"/>
      <c r="AA66" s="355"/>
      <c r="AB66" s="355"/>
      <c r="AC66" s="355"/>
      <c r="AD66" s="355"/>
      <c r="AG66" s="273"/>
      <c r="AH66" s="273"/>
    </row>
    <row r="67" spans="2:34" ht="105" customHeight="1" x14ac:dyDescent="0.2">
      <c r="B67" s="623"/>
      <c r="C67" s="624"/>
      <c r="D67" s="624"/>
      <c r="E67" s="624"/>
      <c r="F67" s="624"/>
      <c r="G67" s="624"/>
      <c r="H67" s="624"/>
      <c r="I67" s="624"/>
      <c r="J67" s="624"/>
      <c r="K67" s="177" t="s">
        <v>363</v>
      </c>
      <c r="L67" s="178" t="s">
        <v>366</v>
      </c>
      <c r="M67" s="134">
        <v>43840</v>
      </c>
      <c r="N67" s="134">
        <v>43900</v>
      </c>
      <c r="O67" s="157" t="s">
        <v>326</v>
      </c>
      <c r="P67" s="157" t="s">
        <v>360</v>
      </c>
      <c r="Q67" s="125"/>
      <c r="R67" s="390">
        <f>2790000-1692948.88</f>
        <v>1097051.1200000001</v>
      </c>
      <c r="S67" s="182" t="s">
        <v>386</v>
      </c>
      <c r="T67" s="102"/>
      <c r="U67" s="253" t="s">
        <v>194</v>
      </c>
      <c r="V67" s="302">
        <v>3120</v>
      </c>
      <c r="W67" s="332">
        <v>43843</v>
      </c>
      <c r="X67" s="174">
        <v>2790000</v>
      </c>
      <c r="Y67" s="174">
        <v>1097051.1200000001</v>
      </c>
      <c r="Z67" s="352">
        <v>875752</v>
      </c>
      <c r="AA67" s="352">
        <f>+R67-Y67</f>
        <v>0</v>
      </c>
      <c r="AB67" s="352">
        <f>+Z67-AA67</f>
        <v>875752</v>
      </c>
      <c r="AC67" s="352">
        <f>IF(Z67=0,"0",IF(Z67&gt;0,Y67-Z67,))</f>
        <v>221299.12000000011</v>
      </c>
      <c r="AD67" s="352">
        <f>+R67-Y67+AB67</f>
        <v>875752</v>
      </c>
      <c r="AG67" s="273"/>
      <c r="AH67" s="273"/>
    </row>
    <row r="68" spans="2:34" ht="30" customHeight="1" x14ac:dyDescent="0.2">
      <c r="B68" s="91" t="s">
        <v>7</v>
      </c>
      <c r="C68" s="92" t="s">
        <v>20</v>
      </c>
      <c r="D68" s="92" t="s">
        <v>20</v>
      </c>
      <c r="E68" s="92" t="s">
        <v>8</v>
      </c>
      <c r="F68" s="92" t="s">
        <v>11</v>
      </c>
      <c r="G68" s="92" t="s">
        <v>13</v>
      </c>
      <c r="H68" s="92"/>
      <c r="I68" s="92"/>
      <c r="J68" s="196"/>
      <c r="K68" s="91"/>
      <c r="L68" s="93" t="s">
        <v>64</v>
      </c>
      <c r="M68" s="93"/>
      <c r="N68" s="132"/>
      <c r="O68" s="155"/>
      <c r="P68" s="155"/>
      <c r="Q68" s="125">
        <f>+Q69+Q71</f>
        <v>43500000</v>
      </c>
      <c r="R68" s="94">
        <f>+R69+R71</f>
        <v>63684658.609999999</v>
      </c>
      <c r="S68" s="92"/>
      <c r="T68" s="95"/>
      <c r="U68" s="244"/>
      <c r="V68" s="300"/>
      <c r="W68" s="330"/>
      <c r="X68" s="94"/>
      <c r="Y68" s="94"/>
      <c r="Z68" s="354"/>
      <c r="AA68" s="354"/>
      <c r="AB68" s="354"/>
      <c r="AC68" s="354"/>
      <c r="AD68" s="354"/>
      <c r="AG68" s="273"/>
      <c r="AH68" s="273"/>
    </row>
    <row r="69" spans="2:34" ht="15" customHeight="1" x14ac:dyDescent="0.2">
      <c r="B69" s="11" t="s">
        <v>7</v>
      </c>
      <c r="C69" s="4" t="s">
        <v>20</v>
      </c>
      <c r="D69" s="4" t="s">
        <v>20</v>
      </c>
      <c r="E69" s="4" t="s">
        <v>8</v>
      </c>
      <c r="F69" s="4" t="s">
        <v>11</v>
      </c>
      <c r="G69" s="4" t="s">
        <v>13</v>
      </c>
      <c r="H69" s="4" t="s">
        <v>20</v>
      </c>
      <c r="I69" s="4"/>
      <c r="J69" s="197"/>
      <c r="K69" s="11"/>
      <c r="L69" s="6" t="s">
        <v>140</v>
      </c>
      <c r="M69" s="6"/>
      <c r="N69" s="133"/>
      <c r="O69" s="156"/>
      <c r="P69" s="156"/>
      <c r="Q69" s="125">
        <v>16500000</v>
      </c>
      <c r="R69" s="5">
        <f>SUM(R70:R70)</f>
        <v>48500000</v>
      </c>
      <c r="S69" s="181"/>
      <c r="T69" s="9"/>
      <c r="U69" s="245"/>
      <c r="V69" s="301"/>
      <c r="W69" s="331"/>
      <c r="X69" s="5"/>
      <c r="Y69" s="5"/>
      <c r="Z69" s="355"/>
      <c r="AA69" s="355"/>
      <c r="AB69" s="355"/>
      <c r="AC69" s="355"/>
      <c r="AD69" s="355"/>
      <c r="AG69" s="273"/>
      <c r="AH69" s="273"/>
    </row>
    <row r="70" spans="2:34" ht="15" customHeight="1" x14ac:dyDescent="0.2">
      <c r="B70" s="623"/>
      <c r="C70" s="624"/>
      <c r="D70" s="624"/>
      <c r="E70" s="624"/>
      <c r="F70" s="624"/>
      <c r="G70" s="624"/>
      <c r="H70" s="624"/>
      <c r="I70" s="624"/>
      <c r="J70" s="624"/>
      <c r="K70" s="99"/>
      <c r="L70" s="100" t="s">
        <v>186</v>
      </c>
      <c r="M70" s="134">
        <v>44015</v>
      </c>
      <c r="N70" s="134">
        <v>44046</v>
      </c>
      <c r="O70" s="157" t="s">
        <v>294</v>
      </c>
      <c r="P70" s="157" t="s">
        <v>318</v>
      </c>
      <c r="Q70" s="125"/>
      <c r="R70" s="101">
        <f>25500000+23000000</f>
        <v>48500000</v>
      </c>
      <c r="S70" s="182" t="s">
        <v>386</v>
      </c>
      <c r="T70" s="102"/>
      <c r="U70" s="253" t="s">
        <v>194</v>
      </c>
      <c r="V70" s="302">
        <v>24020</v>
      </c>
      <c r="W70" s="332">
        <v>43938</v>
      </c>
      <c r="X70" s="174">
        <v>48500000</v>
      </c>
      <c r="Y70" s="174">
        <v>48500000</v>
      </c>
      <c r="Z70" s="352">
        <v>14267251</v>
      </c>
      <c r="AA70" s="352">
        <f>+R70-Y70</f>
        <v>0</v>
      </c>
      <c r="AB70" s="352">
        <f>+Z70-AA70</f>
        <v>14267251</v>
      </c>
      <c r="AC70" s="352">
        <f>IF(Z70=0,"0",IF(Z70&gt;0,Y70-Z70,))</f>
        <v>34232749</v>
      </c>
      <c r="AD70" s="352">
        <f>+R70-Y70+AB70</f>
        <v>14267251</v>
      </c>
      <c r="AG70" s="273"/>
      <c r="AH70" s="273"/>
    </row>
    <row r="71" spans="2:34" ht="30" customHeight="1" x14ac:dyDescent="0.2">
      <c r="B71" s="11" t="s">
        <v>7</v>
      </c>
      <c r="C71" s="4" t="s">
        <v>20</v>
      </c>
      <c r="D71" s="4" t="s">
        <v>20</v>
      </c>
      <c r="E71" s="4" t="s">
        <v>8</v>
      </c>
      <c r="F71" s="4" t="s">
        <v>11</v>
      </c>
      <c r="G71" s="4" t="s">
        <v>13</v>
      </c>
      <c r="H71" s="4" t="s">
        <v>23</v>
      </c>
      <c r="I71" s="4"/>
      <c r="J71" s="197"/>
      <c r="K71" s="11"/>
      <c r="L71" s="6" t="s">
        <v>65</v>
      </c>
      <c r="M71" s="6"/>
      <c r="N71" s="133"/>
      <c r="O71" s="156"/>
      <c r="P71" s="156"/>
      <c r="Q71" s="125">
        <v>27000000</v>
      </c>
      <c r="R71" s="5">
        <f>SUM(R72:R72)</f>
        <v>15184658.609999999</v>
      </c>
      <c r="S71" s="181"/>
      <c r="T71" s="9"/>
      <c r="U71" s="245"/>
      <c r="V71" s="301"/>
      <c r="W71" s="331"/>
      <c r="X71" s="5"/>
      <c r="Y71" s="5"/>
      <c r="Z71" s="355"/>
      <c r="AA71" s="355"/>
      <c r="AB71" s="355"/>
      <c r="AC71" s="355"/>
      <c r="AD71" s="355"/>
      <c r="AG71" s="273"/>
      <c r="AH71" s="273"/>
    </row>
    <row r="72" spans="2:34" ht="30" customHeight="1" x14ac:dyDescent="0.2">
      <c r="B72" s="623"/>
      <c r="C72" s="624"/>
      <c r="D72" s="624"/>
      <c r="E72" s="624"/>
      <c r="F72" s="624"/>
      <c r="G72" s="624"/>
      <c r="H72" s="624"/>
      <c r="I72" s="624"/>
      <c r="J72" s="624"/>
      <c r="K72" s="177" t="s">
        <v>378</v>
      </c>
      <c r="L72" s="178" t="s">
        <v>365</v>
      </c>
      <c r="M72" s="134">
        <v>43840</v>
      </c>
      <c r="N72" s="134">
        <v>43900</v>
      </c>
      <c r="O72" s="157" t="s">
        <v>326</v>
      </c>
      <c r="P72" s="157" t="s">
        <v>360</v>
      </c>
      <c r="Q72" s="125"/>
      <c r="R72" s="101">
        <f>26960000-11775341.39</f>
        <v>15184658.609999999</v>
      </c>
      <c r="S72" s="182" t="s">
        <v>386</v>
      </c>
      <c r="T72" s="102"/>
      <c r="U72" s="253" t="s">
        <v>194</v>
      </c>
      <c r="V72" s="302">
        <v>3120</v>
      </c>
      <c r="W72" s="332">
        <v>43843</v>
      </c>
      <c r="X72" s="174">
        <v>26960000</v>
      </c>
      <c r="Y72" s="174">
        <v>15184658.609999999</v>
      </c>
      <c r="Z72" s="352">
        <v>12184659</v>
      </c>
      <c r="AA72" s="352">
        <f>+R72-Y72</f>
        <v>0</v>
      </c>
      <c r="AB72" s="352">
        <f>+Z72-AA72</f>
        <v>12184659</v>
      </c>
      <c r="AC72" s="352">
        <f>IF(Z72=0,"0",IF(Z72&gt;0,Y72-Z72,))</f>
        <v>2999999.6099999994</v>
      </c>
      <c r="AD72" s="352">
        <f>+R72-Y72+AB72</f>
        <v>12184659</v>
      </c>
      <c r="AG72" s="273"/>
      <c r="AH72" s="273"/>
    </row>
    <row r="73" spans="2:34" ht="15" customHeight="1" x14ac:dyDescent="0.2">
      <c r="B73" s="91" t="s">
        <v>7</v>
      </c>
      <c r="C73" s="92" t="s">
        <v>20</v>
      </c>
      <c r="D73" s="92" t="s">
        <v>20</v>
      </c>
      <c r="E73" s="92" t="s">
        <v>8</v>
      </c>
      <c r="F73" s="92" t="s">
        <v>11</v>
      </c>
      <c r="G73" s="92" t="s">
        <v>14</v>
      </c>
      <c r="H73" s="92"/>
      <c r="I73" s="92"/>
      <c r="J73" s="196"/>
      <c r="K73" s="91"/>
      <c r="L73" s="93" t="s">
        <v>66</v>
      </c>
      <c r="M73" s="93"/>
      <c r="N73" s="132"/>
      <c r="O73" s="155"/>
      <c r="P73" s="155"/>
      <c r="Q73" s="125">
        <f>+Q74+Q76+Q78+Q80</f>
        <v>118400000</v>
      </c>
      <c r="R73" s="94">
        <f>+R74+R76+R78+R80</f>
        <v>112122384</v>
      </c>
      <c r="S73" s="92"/>
      <c r="T73" s="95"/>
      <c r="U73" s="244"/>
      <c r="V73" s="300"/>
      <c r="W73" s="330"/>
      <c r="X73" s="94"/>
      <c r="Y73" s="94"/>
      <c r="Z73" s="354"/>
      <c r="AA73" s="354"/>
      <c r="AB73" s="354"/>
      <c r="AC73" s="354"/>
      <c r="AD73" s="354"/>
      <c r="AG73" s="273"/>
      <c r="AH73" s="273"/>
    </row>
    <row r="74" spans="2:34" ht="15" customHeight="1" x14ac:dyDescent="0.2">
      <c r="B74" s="11" t="s">
        <v>7</v>
      </c>
      <c r="C74" s="4" t="s">
        <v>20</v>
      </c>
      <c r="D74" s="4" t="s">
        <v>20</v>
      </c>
      <c r="E74" s="4" t="s">
        <v>8</v>
      </c>
      <c r="F74" s="4" t="s">
        <v>11</v>
      </c>
      <c r="G74" s="4" t="s">
        <v>14</v>
      </c>
      <c r="H74" s="4" t="s">
        <v>8</v>
      </c>
      <c r="I74" s="4"/>
      <c r="J74" s="197"/>
      <c r="K74" s="11"/>
      <c r="L74" s="6" t="s">
        <v>67</v>
      </c>
      <c r="M74" s="6"/>
      <c r="N74" s="133"/>
      <c r="O74" s="156"/>
      <c r="P74" s="156"/>
      <c r="Q74" s="125">
        <v>10000000</v>
      </c>
      <c r="R74" s="5">
        <f>SUM(R75:R75)</f>
        <v>10000000</v>
      </c>
      <c r="S74" s="181"/>
      <c r="T74" s="9"/>
      <c r="U74" s="245"/>
      <c r="V74" s="301"/>
      <c r="W74" s="331"/>
      <c r="X74" s="5"/>
      <c r="Y74" s="5"/>
      <c r="Z74" s="355"/>
      <c r="AA74" s="355"/>
      <c r="AB74" s="355"/>
      <c r="AC74" s="355"/>
      <c r="AD74" s="355"/>
      <c r="AG74" s="273"/>
      <c r="AH74" s="273"/>
    </row>
    <row r="75" spans="2:34" ht="15" customHeight="1" x14ac:dyDescent="0.2">
      <c r="B75" s="623"/>
      <c r="C75" s="624"/>
      <c r="D75" s="624"/>
      <c r="E75" s="624"/>
      <c r="F75" s="624"/>
      <c r="G75" s="624"/>
      <c r="H75" s="624"/>
      <c r="I75" s="624"/>
      <c r="J75" s="624"/>
      <c r="K75" s="99">
        <v>25172500</v>
      </c>
      <c r="L75" s="100" t="s">
        <v>243</v>
      </c>
      <c r="M75" s="134">
        <v>43863</v>
      </c>
      <c r="N75" s="134">
        <v>43924</v>
      </c>
      <c r="O75" s="157" t="s">
        <v>294</v>
      </c>
      <c r="P75" s="157" t="s">
        <v>318</v>
      </c>
      <c r="Q75" s="125"/>
      <c r="R75" s="101">
        <v>10000000</v>
      </c>
      <c r="S75" s="182" t="s">
        <v>386</v>
      </c>
      <c r="T75" s="102"/>
      <c r="U75" s="253" t="s">
        <v>267</v>
      </c>
      <c r="V75" s="302">
        <v>23120</v>
      </c>
      <c r="W75" s="332">
        <v>43934</v>
      </c>
      <c r="X75" s="174">
        <v>10000000</v>
      </c>
      <c r="Y75" s="174">
        <v>10000000</v>
      </c>
      <c r="Z75" s="352">
        <v>0</v>
      </c>
      <c r="AA75" s="352">
        <f>+R75-Y75</f>
        <v>0</v>
      </c>
      <c r="AB75" s="352">
        <f>+Z75-AA75</f>
        <v>0</v>
      </c>
      <c r="AC75" s="352" t="str">
        <f>IF(Z75=0,"0",IF(Z75&gt;0,Y75-Z75,))</f>
        <v>0</v>
      </c>
      <c r="AD75" s="352">
        <f>+R75-Y75+AB75</f>
        <v>0</v>
      </c>
      <c r="AG75" s="273"/>
      <c r="AH75" s="273"/>
    </row>
    <row r="76" spans="2:34" ht="15" customHeight="1" x14ac:dyDescent="0.2">
      <c r="B76" s="11" t="s">
        <v>7</v>
      </c>
      <c r="C76" s="4" t="s">
        <v>20</v>
      </c>
      <c r="D76" s="4" t="s">
        <v>20</v>
      </c>
      <c r="E76" s="4" t="s">
        <v>8</v>
      </c>
      <c r="F76" s="4" t="s">
        <v>11</v>
      </c>
      <c r="G76" s="4" t="s">
        <v>14</v>
      </c>
      <c r="H76" s="4" t="s">
        <v>20</v>
      </c>
      <c r="I76" s="4"/>
      <c r="J76" s="197"/>
      <c r="K76" s="11"/>
      <c r="L76" s="6" t="s">
        <v>68</v>
      </c>
      <c r="M76" s="6"/>
      <c r="N76" s="133"/>
      <c r="O76" s="156"/>
      <c r="P76" s="156"/>
      <c r="Q76" s="125">
        <v>37800000</v>
      </c>
      <c r="R76" s="5">
        <f>SUM(R77:R77)</f>
        <v>37800000</v>
      </c>
      <c r="S76" s="181"/>
      <c r="T76" s="9"/>
      <c r="U76" s="245"/>
      <c r="V76" s="301"/>
      <c r="W76" s="331"/>
      <c r="X76" s="5"/>
      <c r="Y76" s="5"/>
      <c r="Z76" s="355"/>
      <c r="AA76" s="355"/>
      <c r="AB76" s="355"/>
      <c r="AC76" s="355"/>
      <c r="AD76" s="355"/>
      <c r="AG76" s="273"/>
      <c r="AH76" s="273"/>
    </row>
    <row r="77" spans="2:34" ht="15" customHeight="1" x14ac:dyDescent="0.2">
      <c r="B77" s="623"/>
      <c r="C77" s="624"/>
      <c r="D77" s="624"/>
      <c r="E77" s="624"/>
      <c r="F77" s="624"/>
      <c r="G77" s="624"/>
      <c r="H77" s="624"/>
      <c r="I77" s="624"/>
      <c r="J77" s="624"/>
      <c r="K77" s="99"/>
      <c r="L77" s="100" t="s">
        <v>279</v>
      </c>
      <c r="M77" s="134">
        <v>43922</v>
      </c>
      <c r="N77" s="134">
        <v>43954</v>
      </c>
      <c r="O77" s="157" t="s">
        <v>307</v>
      </c>
      <c r="P77" s="157" t="s">
        <v>319</v>
      </c>
      <c r="Q77" s="125"/>
      <c r="R77" s="101">
        <v>37800000</v>
      </c>
      <c r="S77" s="182" t="s">
        <v>386</v>
      </c>
      <c r="T77" s="102"/>
      <c r="U77" s="253" t="s">
        <v>194</v>
      </c>
      <c r="V77" s="302">
        <v>14620</v>
      </c>
      <c r="W77" s="332">
        <v>43942</v>
      </c>
      <c r="X77" s="174">
        <v>37800000</v>
      </c>
      <c r="Y77" s="174">
        <v>37800000</v>
      </c>
      <c r="Z77" s="352">
        <v>0</v>
      </c>
      <c r="AA77" s="352">
        <f>+R77-Y77</f>
        <v>0</v>
      </c>
      <c r="AB77" s="352">
        <f>+Z77-AA77</f>
        <v>0</v>
      </c>
      <c r="AC77" s="352" t="str">
        <f>IF(Z77=0,"0",IF(Z77&gt;0,Y77-Z77,))</f>
        <v>0</v>
      </c>
      <c r="AD77" s="352">
        <f>+R77-Y77+AB77</f>
        <v>0</v>
      </c>
      <c r="AG77" s="273"/>
      <c r="AH77" s="273"/>
    </row>
    <row r="78" spans="2:34" ht="15" customHeight="1" x14ac:dyDescent="0.2">
      <c r="B78" s="11" t="s">
        <v>7</v>
      </c>
      <c r="C78" s="4" t="s">
        <v>20</v>
      </c>
      <c r="D78" s="4" t="s">
        <v>20</v>
      </c>
      <c r="E78" s="4" t="s">
        <v>8</v>
      </c>
      <c r="F78" s="4" t="s">
        <v>11</v>
      </c>
      <c r="G78" s="4" t="s">
        <v>14</v>
      </c>
      <c r="H78" s="4" t="s">
        <v>23</v>
      </c>
      <c r="I78" s="4"/>
      <c r="J78" s="197"/>
      <c r="K78" s="11"/>
      <c r="L78" s="6" t="s">
        <v>69</v>
      </c>
      <c r="M78" s="6"/>
      <c r="N78" s="133"/>
      <c r="O78" s="156"/>
      <c r="P78" s="156"/>
      <c r="Q78" s="125">
        <v>60000000</v>
      </c>
      <c r="R78" s="5">
        <f>SUM(R79:R79)</f>
        <v>60000000</v>
      </c>
      <c r="S78" s="181"/>
      <c r="T78" s="9"/>
      <c r="U78" s="245"/>
      <c r="V78" s="301"/>
      <c r="W78" s="331"/>
      <c r="X78" s="5"/>
      <c r="Y78" s="5"/>
      <c r="Z78" s="355"/>
      <c r="AA78" s="355"/>
      <c r="AB78" s="355"/>
      <c r="AC78" s="355"/>
      <c r="AD78" s="355"/>
      <c r="AG78" s="273"/>
      <c r="AH78" s="273"/>
    </row>
    <row r="79" spans="2:34" ht="15" customHeight="1" x14ac:dyDescent="0.2">
      <c r="B79" s="623"/>
      <c r="C79" s="624"/>
      <c r="D79" s="624"/>
      <c r="E79" s="624"/>
      <c r="F79" s="624"/>
      <c r="G79" s="624"/>
      <c r="H79" s="624"/>
      <c r="I79" s="624"/>
      <c r="J79" s="624"/>
      <c r="K79" s="99"/>
      <c r="L79" s="100" t="s">
        <v>187</v>
      </c>
      <c r="M79" s="134">
        <v>43983</v>
      </c>
      <c r="N79" s="134">
        <v>44046</v>
      </c>
      <c r="O79" s="157" t="s">
        <v>332</v>
      </c>
      <c r="P79" s="157" t="s">
        <v>319</v>
      </c>
      <c r="Q79" s="125"/>
      <c r="R79" s="101">
        <v>60000000</v>
      </c>
      <c r="S79" s="182" t="s">
        <v>386</v>
      </c>
      <c r="T79" s="102"/>
      <c r="U79" s="253" t="s">
        <v>194</v>
      </c>
      <c r="V79" s="302">
        <v>31320</v>
      </c>
      <c r="W79" s="332">
        <v>43984</v>
      </c>
      <c r="X79" s="174">
        <v>60000000</v>
      </c>
      <c r="Y79" s="174">
        <v>60000000</v>
      </c>
      <c r="Z79" s="352">
        <v>0</v>
      </c>
      <c r="AA79" s="352">
        <f>+R79-Y79</f>
        <v>0</v>
      </c>
      <c r="AB79" s="352">
        <f>+Z79-AA79</f>
        <v>0</v>
      </c>
      <c r="AC79" s="352" t="str">
        <f>IF(Z79=0,"0",IF(Z79&gt;0,Y79-Z79,))</f>
        <v>0</v>
      </c>
      <c r="AD79" s="352">
        <f>+R79-Y79+AB79</f>
        <v>0</v>
      </c>
      <c r="AG79" s="273"/>
      <c r="AH79" s="273"/>
    </row>
    <row r="80" spans="2:34" ht="15" customHeight="1" x14ac:dyDescent="0.2">
      <c r="B80" s="11" t="s">
        <v>7</v>
      </c>
      <c r="C80" s="4" t="s">
        <v>20</v>
      </c>
      <c r="D80" s="4" t="s">
        <v>20</v>
      </c>
      <c r="E80" s="4" t="s">
        <v>8</v>
      </c>
      <c r="F80" s="4" t="s">
        <v>11</v>
      </c>
      <c r="G80" s="4" t="s">
        <v>14</v>
      </c>
      <c r="H80" s="4" t="s">
        <v>24</v>
      </c>
      <c r="I80" s="4"/>
      <c r="J80" s="197"/>
      <c r="K80" s="12"/>
      <c r="L80" s="10" t="s">
        <v>70</v>
      </c>
      <c r="M80" s="10"/>
      <c r="N80" s="136"/>
      <c r="O80" s="159"/>
      <c r="P80" s="159"/>
      <c r="Q80" s="125">
        <v>10600000</v>
      </c>
      <c r="R80" s="8">
        <f>SUM(R81:R81)</f>
        <v>4322384</v>
      </c>
      <c r="S80" s="7"/>
      <c r="T80" s="108"/>
      <c r="U80" s="255"/>
      <c r="V80" s="303"/>
      <c r="W80" s="333"/>
      <c r="X80" s="8"/>
      <c r="Y80" s="8"/>
      <c r="Z80" s="358"/>
      <c r="AA80" s="358"/>
      <c r="AB80" s="358"/>
      <c r="AC80" s="358"/>
      <c r="AD80" s="358"/>
      <c r="AG80" s="273"/>
      <c r="AH80" s="273"/>
    </row>
    <row r="81" spans="2:34" ht="60" customHeight="1" x14ac:dyDescent="0.2">
      <c r="B81" s="623"/>
      <c r="C81" s="624"/>
      <c r="D81" s="624"/>
      <c r="E81" s="624"/>
      <c r="F81" s="624"/>
      <c r="G81" s="624"/>
      <c r="H81" s="624"/>
      <c r="I81" s="624"/>
      <c r="J81" s="624"/>
      <c r="K81" s="177" t="s">
        <v>377</v>
      </c>
      <c r="L81" s="178" t="s">
        <v>364</v>
      </c>
      <c r="M81" s="134">
        <v>43840</v>
      </c>
      <c r="N81" s="134">
        <v>43900</v>
      </c>
      <c r="O81" s="157" t="s">
        <v>299</v>
      </c>
      <c r="P81" s="157" t="s">
        <v>360</v>
      </c>
      <c r="Q81" s="125"/>
      <c r="R81" s="101">
        <f>10430000-6107616</f>
        <v>4322384</v>
      </c>
      <c r="S81" s="182" t="s">
        <v>386</v>
      </c>
      <c r="T81" s="102"/>
      <c r="U81" s="253" t="s">
        <v>194</v>
      </c>
      <c r="V81" s="302">
        <v>3120</v>
      </c>
      <c r="W81" s="332">
        <v>43843</v>
      </c>
      <c r="X81" s="174">
        <v>10430000</v>
      </c>
      <c r="Y81" s="174">
        <v>4322384</v>
      </c>
      <c r="Z81" s="352">
        <v>4322384</v>
      </c>
      <c r="AA81" s="352">
        <f>+R81-Y81</f>
        <v>0</v>
      </c>
      <c r="AB81" s="352">
        <f>+Z81-AA81</f>
        <v>4322384</v>
      </c>
      <c r="AC81" s="352">
        <f>IF(Z81=0,"0",IF(Z81&gt;0,Y81-Z81,))</f>
        <v>0</v>
      </c>
      <c r="AD81" s="352">
        <f>+R81-Y81+AB81</f>
        <v>4322384</v>
      </c>
      <c r="AG81" s="273"/>
      <c r="AH81" s="273"/>
    </row>
    <row r="82" spans="2:34" ht="15" customHeight="1" x14ac:dyDescent="0.2">
      <c r="B82" s="91" t="s">
        <v>7</v>
      </c>
      <c r="C82" s="92" t="s">
        <v>20</v>
      </c>
      <c r="D82" s="92" t="s">
        <v>20</v>
      </c>
      <c r="E82" s="92" t="s">
        <v>8</v>
      </c>
      <c r="F82" s="92" t="s">
        <v>11</v>
      </c>
      <c r="G82" s="92" t="s">
        <v>16</v>
      </c>
      <c r="H82" s="92"/>
      <c r="I82" s="92"/>
      <c r="J82" s="196"/>
      <c r="K82" s="91"/>
      <c r="L82" s="93" t="s">
        <v>188</v>
      </c>
      <c r="M82" s="93"/>
      <c r="N82" s="132"/>
      <c r="O82" s="155"/>
      <c r="P82" s="155"/>
      <c r="Q82" s="125">
        <f>+Q83</f>
        <v>30900000</v>
      </c>
      <c r="R82" s="94">
        <f>+R83</f>
        <v>29800000</v>
      </c>
      <c r="S82" s="92"/>
      <c r="T82" s="95"/>
      <c r="U82" s="244"/>
      <c r="V82" s="300"/>
      <c r="W82" s="330"/>
      <c r="X82" s="94"/>
      <c r="Y82" s="94"/>
      <c r="Z82" s="354"/>
      <c r="AA82" s="354"/>
      <c r="AB82" s="354"/>
      <c r="AC82" s="354"/>
      <c r="AD82" s="354"/>
      <c r="AG82" s="273"/>
      <c r="AH82" s="273"/>
    </row>
    <row r="83" spans="2:34" ht="15.6" customHeight="1" x14ac:dyDescent="0.2">
      <c r="B83" s="12" t="s">
        <v>7</v>
      </c>
      <c r="C83" s="7" t="s">
        <v>20</v>
      </c>
      <c r="D83" s="7" t="s">
        <v>20</v>
      </c>
      <c r="E83" s="7" t="s">
        <v>8</v>
      </c>
      <c r="F83" s="7" t="s">
        <v>11</v>
      </c>
      <c r="G83" s="4" t="s">
        <v>16</v>
      </c>
      <c r="H83" s="4" t="s">
        <v>31</v>
      </c>
      <c r="I83" s="7"/>
      <c r="J83" s="198"/>
      <c r="K83" s="12"/>
      <c r="L83" s="10" t="s">
        <v>189</v>
      </c>
      <c r="M83" s="10"/>
      <c r="N83" s="136"/>
      <c r="O83" s="159"/>
      <c r="P83" s="159"/>
      <c r="Q83" s="125">
        <v>30900000</v>
      </c>
      <c r="R83" s="8">
        <f>SUM(R84:R84)</f>
        <v>29800000</v>
      </c>
      <c r="S83" s="7"/>
      <c r="T83" s="108"/>
      <c r="U83" s="255"/>
      <c r="V83" s="303"/>
      <c r="W83" s="333"/>
      <c r="X83" s="8"/>
      <c r="Y83" s="8"/>
      <c r="Z83" s="358"/>
      <c r="AA83" s="358"/>
      <c r="AB83" s="358"/>
      <c r="AC83" s="358"/>
      <c r="AD83" s="358"/>
      <c r="AG83" s="273"/>
      <c r="AH83" s="273"/>
    </row>
    <row r="84" spans="2:34" s="107" customFormat="1" ht="75" customHeight="1" x14ac:dyDescent="0.25">
      <c r="B84" s="625"/>
      <c r="C84" s="626"/>
      <c r="D84" s="626"/>
      <c r="E84" s="626"/>
      <c r="F84" s="626"/>
      <c r="G84" s="626"/>
      <c r="H84" s="626"/>
      <c r="I84" s="626"/>
      <c r="J84" s="626"/>
      <c r="K84" s="113"/>
      <c r="L84" s="381" t="s">
        <v>275</v>
      </c>
      <c r="M84" s="381"/>
      <c r="N84" s="137"/>
      <c r="O84" s="160"/>
      <c r="P84" s="160"/>
      <c r="Q84" s="125"/>
      <c r="R84" s="115">
        <v>29800000</v>
      </c>
      <c r="S84" s="187"/>
      <c r="T84" s="382"/>
      <c r="U84" s="256"/>
      <c r="V84" s="302" t="s">
        <v>434</v>
      </c>
      <c r="W84" s="332" t="s">
        <v>433</v>
      </c>
      <c r="X84" s="174">
        <f>6000000+6000000+253108.99+1491130+660633+3829633</f>
        <v>18234504.990000002</v>
      </c>
      <c r="Y84" s="174">
        <v>6000000</v>
      </c>
      <c r="Z84" s="352"/>
      <c r="AA84" s="352">
        <f>+R84-Y84</f>
        <v>23800000</v>
      </c>
      <c r="AB84" s="352">
        <f>+Z84-AA84</f>
        <v>-23800000</v>
      </c>
      <c r="AC84" s="352" t="str">
        <f>IF(Z84=0,"0",IF(Z84&gt;0,Y84-Z84,))</f>
        <v>0</v>
      </c>
      <c r="AD84" s="352">
        <f>+R84-Y84+AB84</f>
        <v>0</v>
      </c>
      <c r="AG84" s="383"/>
      <c r="AH84" s="383"/>
    </row>
    <row r="85" spans="2:34" ht="15" customHeight="1" x14ac:dyDescent="0.2">
      <c r="B85" s="13" t="s">
        <v>7</v>
      </c>
      <c r="C85" s="14" t="s">
        <v>20</v>
      </c>
      <c r="D85" s="14" t="s">
        <v>20</v>
      </c>
      <c r="E85" s="14" t="s">
        <v>8</v>
      </c>
      <c r="F85" s="14" t="s">
        <v>12</v>
      </c>
      <c r="G85" s="14"/>
      <c r="H85" s="14"/>
      <c r="I85" s="14"/>
      <c r="J85" s="195"/>
      <c r="K85" s="13"/>
      <c r="L85" s="15" t="s">
        <v>73</v>
      </c>
      <c r="M85" s="15"/>
      <c r="N85" s="131"/>
      <c r="O85" s="154"/>
      <c r="P85" s="154"/>
      <c r="Q85" s="125">
        <f>+Q90+Q94+Q97+Q102+Q86</f>
        <v>260300000</v>
      </c>
      <c r="R85" s="16">
        <f>+R90+R94+R97+R102+R86</f>
        <v>260957000</v>
      </c>
      <c r="S85" s="14"/>
      <c r="T85" s="17"/>
      <c r="U85" s="252"/>
      <c r="V85" s="299"/>
      <c r="W85" s="329"/>
      <c r="X85" s="16"/>
      <c r="Y85" s="16"/>
      <c r="Z85" s="353"/>
      <c r="AA85" s="353"/>
      <c r="AB85" s="353"/>
      <c r="AC85" s="353"/>
      <c r="AD85" s="353"/>
      <c r="AG85" s="273"/>
      <c r="AH85" s="273"/>
    </row>
    <row r="86" spans="2:34" ht="15.6" customHeight="1" x14ac:dyDescent="0.2">
      <c r="B86" s="91" t="s">
        <v>7</v>
      </c>
      <c r="C86" s="92" t="s">
        <v>20</v>
      </c>
      <c r="D86" s="92" t="s">
        <v>20</v>
      </c>
      <c r="E86" s="92" t="s">
        <v>8</v>
      </c>
      <c r="F86" s="92" t="s">
        <v>12</v>
      </c>
      <c r="G86" s="92" t="s">
        <v>10</v>
      </c>
      <c r="H86" s="92"/>
      <c r="I86" s="92"/>
      <c r="J86" s="196"/>
      <c r="K86" s="91"/>
      <c r="L86" s="93" t="s">
        <v>74</v>
      </c>
      <c r="M86" s="93"/>
      <c r="N86" s="132"/>
      <c r="O86" s="155"/>
      <c r="P86" s="155"/>
      <c r="Q86" s="125">
        <v>21500000</v>
      </c>
      <c r="R86" s="94">
        <f>SUM(R87:R89)</f>
        <v>45357000</v>
      </c>
      <c r="S86" s="92"/>
      <c r="T86" s="95"/>
      <c r="U86" s="244"/>
      <c r="V86" s="300"/>
      <c r="W86" s="330"/>
      <c r="X86" s="94"/>
      <c r="Y86" s="94"/>
      <c r="Z86" s="354"/>
      <c r="AA86" s="354"/>
      <c r="AB86" s="354"/>
      <c r="AC86" s="354"/>
      <c r="AD86" s="354"/>
      <c r="AG86" s="273"/>
      <c r="AH86" s="273"/>
    </row>
    <row r="87" spans="2:34" ht="15" customHeight="1" x14ac:dyDescent="0.2">
      <c r="B87" s="625"/>
      <c r="C87" s="626"/>
      <c r="D87" s="626"/>
      <c r="E87" s="626"/>
      <c r="F87" s="626"/>
      <c r="G87" s="626"/>
      <c r="H87" s="626"/>
      <c r="I87" s="626"/>
      <c r="J87" s="626"/>
      <c r="K87" s="99"/>
      <c r="L87" s="100" t="s">
        <v>282</v>
      </c>
      <c r="M87" s="134">
        <v>43922</v>
      </c>
      <c r="N87" s="134">
        <v>43952</v>
      </c>
      <c r="O87" s="157" t="s">
        <v>307</v>
      </c>
      <c r="P87" s="157" t="s">
        <v>318</v>
      </c>
      <c r="Q87" s="125"/>
      <c r="R87" s="101">
        <v>11000000</v>
      </c>
      <c r="S87" s="182" t="s">
        <v>386</v>
      </c>
      <c r="T87" s="102"/>
      <c r="U87" s="253" t="s">
        <v>194</v>
      </c>
      <c r="V87" s="302"/>
      <c r="W87" s="332"/>
      <c r="X87" s="174"/>
      <c r="Y87" s="174"/>
      <c r="Z87" s="352"/>
      <c r="AA87" s="352">
        <f>+R87-Y87</f>
        <v>11000000</v>
      </c>
      <c r="AB87" s="352">
        <f>+Z87-AA87</f>
        <v>-11000000</v>
      </c>
      <c r="AC87" s="352" t="str">
        <f>IF(Z87=0,"0",IF(Z87&gt;0,Y87-Z87,))</f>
        <v>0</v>
      </c>
      <c r="AD87" s="352">
        <f>+R87-Y87+AB87</f>
        <v>0</v>
      </c>
      <c r="AG87" s="273"/>
      <c r="AH87" s="273"/>
    </row>
    <row r="88" spans="2:34" ht="30" customHeight="1" x14ac:dyDescent="0.2">
      <c r="B88" s="625"/>
      <c r="C88" s="626"/>
      <c r="D88" s="626"/>
      <c r="E88" s="626"/>
      <c r="F88" s="626"/>
      <c r="G88" s="626"/>
      <c r="H88" s="626"/>
      <c r="I88" s="626"/>
      <c r="J88" s="626"/>
      <c r="K88" s="177" t="s">
        <v>298</v>
      </c>
      <c r="L88" s="178" t="s">
        <v>244</v>
      </c>
      <c r="M88" s="134">
        <v>43876</v>
      </c>
      <c r="N88" s="134">
        <v>43905</v>
      </c>
      <c r="O88" s="157" t="s">
        <v>294</v>
      </c>
      <c r="P88" s="157" t="s">
        <v>319</v>
      </c>
      <c r="Q88" s="125"/>
      <c r="R88" s="101">
        <f>13450000+907000</f>
        <v>14357000</v>
      </c>
      <c r="S88" s="182" t="s">
        <v>386</v>
      </c>
      <c r="T88" s="102"/>
      <c r="U88" s="257" t="s">
        <v>291</v>
      </c>
      <c r="V88" s="302"/>
      <c r="W88" s="332"/>
      <c r="X88" s="174"/>
      <c r="Y88" s="174"/>
      <c r="Z88" s="352"/>
      <c r="AA88" s="352">
        <f>+R88-Y88</f>
        <v>14357000</v>
      </c>
      <c r="AB88" s="352">
        <f>+Z88-AA88</f>
        <v>-14357000</v>
      </c>
      <c r="AC88" s="352" t="str">
        <f>IF(Z88=0,"0",IF(Z88&gt;0,Y88-Z88,))</f>
        <v>0</v>
      </c>
      <c r="AD88" s="352">
        <f>+R88-Y88+AB88</f>
        <v>0</v>
      </c>
      <c r="AG88" s="273"/>
      <c r="AH88" s="273"/>
    </row>
    <row r="89" spans="2:34" ht="30" customHeight="1" x14ac:dyDescent="0.2">
      <c r="B89" s="625"/>
      <c r="C89" s="626"/>
      <c r="D89" s="626"/>
      <c r="E89" s="626"/>
      <c r="F89" s="626"/>
      <c r="G89" s="626"/>
      <c r="H89" s="626"/>
      <c r="I89" s="626"/>
      <c r="J89" s="626"/>
      <c r="K89" s="177" t="s">
        <v>379</v>
      </c>
      <c r="L89" s="178" t="s">
        <v>380</v>
      </c>
      <c r="M89" s="134">
        <v>43876</v>
      </c>
      <c r="N89" s="134">
        <v>43905</v>
      </c>
      <c r="O89" s="157" t="s">
        <v>294</v>
      </c>
      <c r="P89" s="157" t="s">
        <v>319</v>
      </c>
      <c r="Q89" s="125"/>
      <c r="R89" s="101">
        <v>20000000</v>
      </c>
      <c r="S89" s="182" t="s">
        <v>386</v>
      </c>
      <c r="T89" s="102"/>
      <c r="U89" s="253" t="s">
        <v>274</v>
      </c>
      <c r="V89" s="302"/>
      <c r="W89" s="332"/>
      <c r="X89" s="174"/>
      <c r="Y89" s="174"/>
      <c r="Z89" s="352"/>
      <c r="AA89" s="352">
        <f>+R89-Y89</f>
        <v>20000000</v>
      </c>
      <c r="AB89" s="352">
        <f>+Z89-AA89</f>
        <v>-20000000</v>
      </c>
      <c r="AC89" s="352" t="str">
        <f>IF(Z89=0,"0",IF(Z89&gt;0,Y89-Z89,))</f>
        <v>0</v>
      </c>
      <c r="AD89" s="352">
        <f>+R89-Y89+AB89</f>
        <v>0</v>
      </c>
      <c r="AG89" s="273"/>
      <c r="AH89" s="273"/>
    </row>
    <row r="90" spans="2:34" ht="15" customHeight="1" x14ac:dyDescent="0.2">
      <c r="B90" s="91" t="s">
        <v>7</v>
      </c>
      <c r="C90" s="92" t="s">
        <v>20</v>
      </c>
      <c r="D90" s="92" t="s">
        <v>20</v>
      </c>
      <c r="E90" s="92" t="s">
        <v>8</v>
      </c>
      <c r="F90" s="92" t="s">
        <v>12</v>
      </c>
      <c r="G90" s="92" t="s">
        <v>12</v>
      </c>
      <c r="H90" s="92"/>
      <c r="I90" s="92"/>
      <c r="J90" s="196"/>
      <c r="K90" s="91"/>
      <c r="L90" s="93" t="s">
        <v>39</v>
      </c>
      <c r="M90" s="93"/>
      <c r="N90" s="132"/>
      <c r="O90" s="155"/>
      <c r="P90" s="155"/>
      <c r="Q90" s="125">
        <f>+Q91</f>
        <v>60000000</v>
      </c>
      <c r="R90" s="94">
        <f>+R91</f>
        <v>46800000</v>
      </c>
      <c r="S90" s="92"/>
      <c r="T90" s="95"/>
      <c r="U90" s="244"/>
      <c r="V90" s="300"/>
      <c r="W90" s="330"/>
      <c r="X90" s="94"/>
      <c r="Y90" s="94"/>
      <c r="Z90" s="354"/>
      <c r="AA90" s="354"/>
      <c r="AB90" s="354"/>
      <c r="AC90" s="354"/>
      <c r="AD90" s="354"/>
      <c r="AG90" s="273"/>
      <c r="AH90" s="273"/>
    </row>
    <row r="91" spans="2:34" ht="15" customHeight="1" x14ac:dyDescent="0.2">
      <c r="B91" s="11" t="s">
        <v>7</v>
      </c>
      <c r="C91" s="4" t="s">
        <v>20</v>
      </c>
      <c r="D91" s="4" t="s">
        <v>20</v>
      </c>
      <c r="E91" s="4" t="s">
        <v>8</v>
      </c>
      <c r="F91" s="4" t="s">
        <v>12</v>
      </c>
      <c r="G91" s="4" t="s">
        <v>12</v>
      </c>
      <c r="H91" s="4" t="s">
        <v>31</v>
      </c>
      <c r="I91" s="4"/>
      <c r="J91" s="197"/>
      <c r="K91" s="11"/>
      <c r="L91" s="6" t="s">
        <v>41</v>
      </c>
      <c r="M91" s="6"/>
      <c r="N91" s="133"/>
      <c r="O91" s="156"/>
      <c r="P91" s="156"/>
      <c r="Q91" s="125">
        <v>60000000</v>
      </c>
      <c r="R91" s="5">
        <f>SUM(R92:R93)</f>
        <v>46800000</v>
      </c>
      <c r="S91" s="181"/>
      <c r="T91" s="9"/>
      <c r="U91" s="245"/>
      <c r="V91" s="301"/>
      <c r="W91" s="331"/>
      <c r="X91" s="5"/>
      <c r="Y91" s="5"/>
      <c r="Z91" s="355"/>
      <c r="AA91" s="355"/>
      <c r="AB91" s="355"/>
      <c r="AC91" s="355"/>
      <c r="AD91" s="355"/>
      <c r="AG91" s="273"/>
      <c r="AH91" s="273"/>
    </row>
    <row r="92" spans="2:34" ht="30" customHeight="1" x14ac:dyDescent="0.2">
      <c r="B92" s="623"/>
      <c r="C92" s="624"/>
      <c r="D92" s="624"/>
      <c r="E92" s="624"/>
      <c r="F92" s="624"/>
      <c r="G92" s="624"/>
      <c r="H92" s="624"/>
      <c r="I92" s="624"/>
      <c r="J92" s="624"/>
      <c r="K92" s="99"/>
      <c r="L92" s="100" t="s">
        <v>373</v>
      </c>
      <c r="M92" s="134">
        <v>43895</v>
      </c>
      <c r="N92" s="134">
        <v>43926</v>
      </c>
      <c r="O92" s="157" t="s">
        <v>307</v>
      </c>
      <c r="P92" s="157" t="s">
        <v>318</v>
      </c>
      <c r="Q92" s="125"/>
      <c r="R92" s="101">
        <v>19800000</v>
      </c>
      <c r="S92" s="182" t="s">
        <v>386</v>
      </c>
      <c r="T92" s="102"/>
      <c r="U92" s="253" t="s">
        <v>194</v>
      </c>
      <c r="V92" s="302">
        <v>23220</v>
      </c>
      <c r="W92" s="332">
        <v>43935</v>
      </c>
      <c r="X92" s="174">
        <v>19800000</v>
      </c>
      <c r="Y92" s="174">
        <v>19800000</v>
      </c>
      <c r="Z92" s="352">
        <v>19710823.870000001</v>
      </c>
      <c r="AA92" s="352">
        <f>+R92-Y92</f>
        <v>0</v>
      </c>
      <c r="AB92" s="352">
        <f>+Z92-AA92</f>
        <v>19710823.870000001</v>
      </c>
      <c r="AC92" s="352">
        <f>IF(Z92=0,"0",IF(Z92&gt;0,Y92-Z92,))</f>
        <v>89176.129999998957</v>
      </c>
      <c r="AD92" s="352">
        <f>+R92-Y92+AB92</f>
        <v>19710823.870000001</v>
      </c>
      <c r="AG92" s="273"/>
      <c r="AH92" s="273"/>
    </row>
    <row r="93" spans="2:34" ht="15" customHeight="1" x14ac:dyDescent="0.2">
      <c r="B93" s="625"/>
      <c r="C93" s="626"/>
      <c r="D93" s="626"/>
      <c r="E93" s="626"/>
      <c r="F93" s="626"/>
      <c r="G93" s="626"/>
      <c r="H93" s="626"/>
      <c r="I93" s="626"/>
      <c r="J93" s="626"/>
      <c r="K93" s="99"/>
      <c r="L93" s="100" t="s">
        <v>197</v>
      </c>
      <c r="M93" s="134">
        <v>43922</v>
      </c>
      <c r="N93" s="134">
        <v>43952</v>
      </c>
      <c r="O93" s="157" t="s">
        <v>331</v>
      </c>
      <c r="P93" s="157" t="s">
        <v>318</v>
      </c>
      <c r="Q93" s="125"/>
      <c r="R93" s="101">
        <v>27000000</v>
      </c>
      <c r="S93" s="182" t="s">
        <v>386</v>
      </c>
      <c r="T93" s="102"/>
      <c r="U93" s="253" t="s">
        <v>194</v>
      </c>
      <c r="V93" s="302"/>
      <c r="W93" s="332"/>
      <c r="X93" s="174"/>
      <c r="Y93" s="174"/>
      <c r="Z93" s="352"/>
      <c r="AA93" s="352">
        <f>+R93-Y93</f>
        <v>27000000</v>
      </c>
      <c r="AB93" s="352">
        <f>+Z93-AA93</f>
        <v>-27000000</v>
      </c>
      <c r="AC93" s="352" t="str">
        <f>IF(Z93=0,"0",IF(Z93&gt;0,Y93-Z93,))</f>
        <v>0</v>
      </c>
      <c r="AD93" s="352">
        <f>+R93-Y93+AB93</f>
        <v>0</v>
      </c>
      <c r="AG93" s="273"/>
      <c r="AH93" s="273"/>
    </row>
    <row r="94" spans="2:34" ht="15" customHeight="1" x14ac:dyDescent="0.2">
      <c r="B94" s="91" t="s">
        <v>7</v>
      </c>
      <c r="C94" s="92" t="s">
        <v>20</v>
      </c>
      <c r="D94" s="92" t="s">
        <v>20</v>
      </c>
      <c r="E94" s="92" t="s">
        <v>8</v>
      </c>
      <c r="F94" s="92" t="s">
        <v>12</v>
      </c>
      <c r="G94" s="92" t="s">
        <v>13</v>
      </c>
      <c r="H94" s="92"/>
      <c r="I94" s="92"/>
      <c r="J94" s="196"/>
      <c r="K94" s="91"/>
      <c r="L94" s="93" t="s">
        <v>42</v>
      </c>
      <c r="M94" s="93"/>
      <c r="N94" s="132"/>
      <c r="O94" s="155"/>
      <c r="P94" s="155"/>
      <c r="Q94" s="125">
        <f>+Q95</f>
        <v>8000000</v>
      </c>
      <c r="R94" s="94">
        <f>+R95</f>
        <v>8000000</v>
      </c>
      <c r="S94" s="92"/>
      <c r="T94" s="95"/>
      <c r="U94" s="244"/>
      <c r="V94" s="300"/>
      <c r="W94" s="330"/>
      <c r="X94" s="94"/>
      <c r="Y94" s="94"/>
      <c r="Z94" s="354"/>
      <c r="AA94" s="354"/>
      <c r="AB94" s="354"/>
      <c r="AC94" s="354"/>
      <c r="AD94" s="354"/>
      <c r="AG94" s="273"/>
      <c r="AH94" s="273"/>
    </row>
    <row r="95" spans="2:34" ht="17.649999999999999" customHeight="1" x14ac:dyDescent="0.2">
      <c r="B95" s="11" t="s">
        <v>7</v>
      </c>
      <c r="C95" s="4" t="s">
        <v>20</v>
      </c>
      <c r="D95" s="4" t="s">
        <v>20</v>
      </c>
      <c r="E95" s="4" t="s">
        <v>8</v>
      </c>
      <c r="F95" s="4" t="s">
        <v>12</v>
      </c>
      <c r="G95" s="4" t="s">
        <v>13</v>
      </c>
      <c r="H95" s="4" t="s">
        <v>8</v>
      </c>
      <c r="I95" s="4"/>
      <c r="J95" s="197"/>
      <c r="K95" s="11"/>
      <c r="L95" s="6" t="s">
        <v>43</v>
      </c>
      <c r="M95" s="6"/>
      <c r="N95" s="133"/>
      <c r="O95" s="156"/>
      <c r="P95" s="156"/>
      <c r="Q95" s="125">
        <v>8000000</v>
      </c>
      <c r="R95" s="5">
        <f>SUM(R96:R96)</f>
        <v>8000000</v>
      </c>
      <c r="S95" s="181"/>
      <c r="T95" s="9"/>
      <c r="U95" s="245"/>
      <c r="V95" s="301"/>
      <c r="W95" s="331"/>
      <c r="X95" s="5"/>
      <c r="Y95" s="5"/>
      <c r="Z95" s="355"/>
      <c r="AA95" s="355"/>
      <c r="AB95" s="355"/>
      <c r="AC95" s="355"/>
      <c r="AD95" s="355"/>
      <c r="AG95" s="273"/>
      <c r="AH95" s="273"/>
    </row>
    <row r="96" spans="2:34" ht="30" customHeight="1" x14ac:dyDescent="0.2">
      <c r="B96" s="623"/>
      <c r="C96" s="624"/>
      <c r="D96" s="624"/>
      <c r="E96" s="624"/>
      <c r="F96" s="624"/>
      <c r="G96" s="624"/>
      <c r="H96" s="624"/>
      <c r="I96" s="624"/>
      <c r="J96" s="624"/>
      <c r="K96" s="177" t="s">
        <v>300</v>
      </c>
      <c r="L96" s="178" t="s">
        <v>174</v>
      </c>
      <c r="M96" s="134">
        <v>43845</v>
      </c>
      <c r="N96" s="134">
        <v>43876</v>
      </c>
      <c r="O96" s="157" t="s">
        <v>299</v>
      </c>
      <c r="P96" s="157" t="s">
        <v>318</v>
      </c>
      <c r="Q96" s="125"/>
      <c r="R96" s="101">
        <v>8000000</v>
      </c>
      <c r="S96" s="182" t="s">
        <v>386</v>
      </c>
      <c r="T96" s="102"/>
      <c r="U96" s="253" t="s">
        <v>181</v>
      </c>
      <c r="V96" s="302">
        <v>19320</v>
      </c>
      <c r="W96" s="332">
        <v>43900</v>
      </c>
      <c r="X96" s="174">
        <v>8000000</v>
      </c>
      <c r="Y96" s="174">
        <v>8000000</v>
      </c>
      <c r="Z96" s="174">
        <v>3060000</v>
      </c>
      <c r="AA96" s="352">
        <f>+R96-Y96</f>
        <v>0</v>
      </c>
      <c r="AB96" s="352">
        <f>+Z96-AA96</f>
        <v>3060000</v>
      </c>
      <c r="AC96" s="352">
        <f>IF(Z96=0,"0",IF(Z96&gt;0,Y96-Z96,))</f>
        <v>4940000</v>
      </c>
      <c r="AD96" s="352">
        <f>+R96-Y96+AB96</f>
        <v>3060000</v>
      </c>
      <c r="AG96" s="273"/>
      <c r="AH96" s="273"/>
    </row>
    <row r="97" spans="2:34" ht="15" customHeight="1" x14ac:dyDescent="0.2">
      <c r="B97" s="91" t="s">
        <v>7</v>
      </c>
      <c r="C97" s="92" t="s">
        <v>20</v>
      </c>
      <c r="D97" s="92" t="s">
        <v>20</v>
      </c>
      <c r="E97" s="92" t="s">
        <v>8</v>
      </c>
      <c r="F97" s="92" t="s">
        <v>12</v>
      </c>
      <c r="G97" s="92" t="s">
        <v>15</v>
      </c>
      <c r="H97" s="92"/>
      <c r="I97" s="92"/>
      <c r="J97" s="196"/>
      <c r="K97" s="91"/>
      <c r="L97" s="93" t="s">
        <v>48</v>
      </c>
      <c r="M97" s="93"/>
      <c r="N97" s="132"/>
      <c r="O97" s="155"/>
      <c r="P97" s="155"/>
      <c r="Q97" s="125">
        <f>SUM(Q98:Q98)</f>
        <v>152000000</v>
      </c>
      <c r="R97" s="94">
        <f>SUM(R98:R98)</f>
        <v>142000000</v>
      </c>
      <c r="S97" s="92"/>
      <c r="T97" s="95"/>
      <c r="U97" s="244"/>
      <c r="V97" s="300"/>
      <c r="W97" s="330"/>
      <c r="X97" s="94"/>
      <c r="Y97" s="94"/>
      <c r="Z97" s="354"/>
      <c r="AA97" s="354"/>
      <c r="AB97" s="354"/>
      <c r="AC97" s="354"/>
      <c r="AD97" s="354"/>
      <c r="AG97" s="273"/>
      <c r="AH97" s="273"/>
    </row>
    <row r="98" spans="2:34" ht="15" customHeight="1" x14ac:dyDescent="0.2">
      <c r="B98" s="11" t="s">
        <v>7</v>
      </c>
      <c r="C98" s="4" t="s">
        <v>20</v>
      </c>
      <c r="D98" s="4" t="s">
        <v>20</v>
      </c>
      <c r="E98" s="4" t="s">
        <v>8</v>
      </c>
      <c r="F98" s="4" t="s">
        <v>12</v>
      </c>
      <c r="G98" s="4" t="s">
        <v>15</v>
      </c>
      <c r="H98" s="4" t="s">
        <v>30</v>
      </c>
      <c r="I98" s="4"/>
      <c r="J98" s="197"/>
      <c r="K98" s="11"/>
      <c r="L98" s="6" t="s">
        <v>48</v>
      </c>
      <c r="M98" s="6"/>
      <c r="N98" s="133"/>
      <c r="O98" s="156"/>
      <c r="P98" s="156"/>
      <c r="Q98" s="125">
        <v>152000000</v>
      </c>
      <c r="R98" s="5">
        <f>SUM(R99:R101)</f>
        <v>142000000</v>
      </c>
      <c r="S98" s="181"/>
      <c r="T98" s="9"/>
      <c r="U98" s="245"/>
      <c r="V98" s="301"/>
      <c r="W98" s="331"/>
      <c r="X98" s="5"/>
      <c r="Y98" s="5"/>
      <c r="Z98" s="355"/>
      <c r="AA98" s="355"/>
      <c r="AB98" s="355"/>
      <c r="AC98" s="355"/>
      <c r="AD98" s="355"/>
      <c r="AG98" s="273"/>
      <c r="AH98" s="273"/>
    </row>
    <row r="99" spans="2:34" ht="30" customHeight="1" x14ac:dyDescent="0.2">
      <c r="B99" s="623"/>
      <c r="C99" s="624"/>
      <c r="D99" s="624"/>
      <c r="E99" s="624"/>
      <c r="F99" s="624"/>
      <c r="G99" s="624"/>
      <c r="H99" s="624"/>
      <c r="I99" s="624"/>
      <c r="J99" s="624"/>
      <c r="K99" s="177" t="s">
        <v>302</v>
      </c>
      <c r="L99" s="178" t="s">
        <v>172</v>
      </c>
      <c r="M99" s="134">
        <v>44053</v>
      </c>
      <c r="N99" s="134">
        <v>44084</v>
      </c>
      <c r="O99" s="157" t="s">
        <v>294</v>
      </c>
      <c r="P99" s="157" t="s">
        <v>319</v>
      </c>
      <c r="Q99" s="125"/>
      <c r="R99" s="101">
        <v>30000000</v>
      </c>
      <c r="S99" s="182" t="s">
        <v>386</v>
      </c>
      <c r="T99" s="102"/>
      <c r="U99" s="253" t="s">
        <v>181</v>
      </c>
      <c r="V99" s="302"/>
      <c r="W99" s="332"/>
      <c r="X99" s="174"/>
      <c r="Y99" s="174"/>
      <c r="Z99" s="352"/>
      <c r="AA99" s="352">
        <f>+R99-Y99</f>
        <v>30000000</v>
      </c>
      <c r="AB99" s="352">
        <f>+Z99-AA99</f>
        <v>-30000000</v>
      </c>
      <c r="AC99" s="352" t="str">
        <f>IF(Z99=0,"0",IF(Z99&gt;0,Y99-Z99,))</f>
        <v>0</v>
      </c>
      <c r="AD99" s="352">
        <f>+R99-Y99+AB99</f>
        <v>0</v>
      </c>
      <c r="AG99" s="273"/>
      <c r="AH99" s="273"/>
    </row>
    <row r="100" spans="2:34" ht="24.75" customHeight="1" x14ac:dyDescent="0.2">
      <c r="B100" s="625"/>
      <c r="C100" s="626"/>
      <c r="D100" s="626"/>
      <c r="E100" s="626"/>
      <c r="F100" s="626"/>
      <c r="G100" s="626"/>
      <c r="H100" s="626"/>
      <c r="I100" s="626"/>
      <c r="J100" s="626"/>
      <c r="K100" s="99">
        <v>43231500</v>
      </c>
      <c r="L100" s="100" t="s">
        <v>173</v>
      </c>
      <c r="M100" s="134">
        <v>43845</v>
      </c>
      <c r="N100" s="134">
        <v>43876</v>
      </c>
      <c r="O100" s="157" t="s">
        <v>294</v>
      </c>
      <c r="P100" s="157" t="s">
        <v>318</v>
      </c>
      <c r="Q100" s="125"/>
      <c r="R100" s="101">
        <v>22000000</v>
      </c>
      <c r="S100" s="182" t="s">
        <v>386</v>
      </c>
      <c r="T100" s="102"/>
      <c r="U100" s="253" t="s">
        <v>181</v>
      </c>
      <c r="V100" s="302">
        <v>16720</v>
      </c>
      <c r="W100" s="332">
        <v>43888</v>
      </c>
      <c r="X100" s="174">
        <v>22000000</v>
      </c>
      <c r="Y100" s="174">
        <v>22000000</v>
      </c>
      <c r="Z100" s="352">
        <v>15470000</v>
      </c>
      <c r="AA100" s="352">
        <f>+R100-Y100</f>
        <v>0</v>
      </c>
      <c r="AB100" s="352">
        <f>+Z100-AA100</f>
        <v>15470000</v>
      </c>
      <c r="AC100" s="352">
        <f>IF(Z100=0,"0",IF(Z100&gt;0,Y100-Z100,))</f>
        <v>6530000</v>
      </c>
      <c r="AD100" s="352">
        <f>+R100-Y100+AB100</f>
        <v>15470000</v>
      </c>
      <c r="AG100" s="273"/>
      <c r="AH100" s="273"/>
    </row>
    <row r="101" spans="2:34" ht="29.25" customHeight="1" x14ac:dyDescent="0.2">
      <c r="B101" s="625"/>
      <c r="C101" s="626"/>
      <c r="D101" s="626"/>
      <c r="E101" s="626"/>
      <c r="F101" s="626"/>
      <c r="G101" s="626"/>
      <c r="H101" s="626"/>
      <c r="I101" s="626"/>
      <c r="J101" s="626"/>
      <c r="K101" s="99">
        <v>43231500</v>
      </c>
      <c r="L101" s="100" t="s">
        <v>229</v>
      </c>
      <c r="M101" s="134">
        <v>43866</v>
      </c>
      <c r="N101" s="134">
        <v>43895</v>
      </c>
      <c r="O101" s="157" t="s">
        <v>294</v>
      </c>
      <c r="P101" s="157" t="s">
        <v>384</v>
      </c>
      <c r="Q101" s="125"/>
      <c r="R101" s="101">
        <v>90000000</v>
      </c>
      <c r="S101" s="182" t="s">
        <v>386</v>
      </c>
      <c r="T101" s="102"/>
      <c r="U101" s="253" t="s">
        <v>181</v>
      </c>
      <c r="V101" s="302">
        <v>21920</v>
      </c>
      <c r="W101" s="332" t="s">
        <v>435</v>
      </c>
      <c r="X101" s="174">
        <v>90000000</v>
      </c>
      <c r="Y101" s="174">
        <v>90000000</v>
      </c>
      <c r="Z101" s="352">
        <v>58696530.32</v>
      </c>
      <c r="AA101" s="352">
        <f>+R101-Y101</f>
        <v>0</v>
      </c>
      <c r="AB101" s="352">
        <f>+Z101-AA101</f>
        <v>58696530.32</v>
      </c>
      <c r="AC101" s="352">
        <f>IF(Z101=0,"0",IF(Z101&gt;0,Y101-Z101,))</f>
        <v>31303469.68</v>
      </c>
      <c r="AD101" s="352">
        <f>+R101-Y101+AB101</f>
        <v>58696530.32</v>
      </c>
      <c r="AG101" s="273"/>
      <c r="AH101" s="273"/>
    </row>
    <row r="102" spans="2:34" ht="18.2" customHeight="1" x14ac:dyDescent="0.2">
      <c r="B102" s="91" t="s">
        <v>7</v>
      </c>
      <c r="C102" s="92" t="s">
        <v>20</v>
      </c>
      <c r="D102" s="92" t="s">
        <v>20</v>
      </c>
      <c r="E102" s="92" t="s">
        <v>8</v>
      </c>
      <c r="F102" s="92" t="s">
        <v>12</v>
      </c>
      <c r="G102" s="92" t="s">
        <v>16</v>
      </c>
      <c r="H102" s="92"/>
      <c r="I102" s="92"/>
      <c r="J102" s="196"/>
      <c r="K102" s="91"/>
      <c r="L102" s="93" t="s">
        <v>143</v>
      </c>
      <c r="M102" s="93"/>
      <c r="N102" s="132"/>
      <c r="O102" s="155"/>
      <c r="P102" s="155"/>
      <c r="Q102" s="125">
        <f>+Q103+Q106</f>
        <v>18800000</v>
      </c>
      <c r="R102" s="94">
        <f>+R103+R106</f>
        <v>18800000</v>
      </c>
      <c r="S102" s="92"/>
      <c r="T102" s="95"/>
      <c r="U102" s="244"/>
      <c r="V102" s="300"/>
      <c r="W102" s="330"/>
      <c r="X102" s="94"/>
      <c r="Y102" s="94"/>
      <c r="Z102" s="354"/>
      <c r="AA102" s="354"/>
      <c r="AB102" s="354"/>
      <c r="AC102" s="354"/>
      <c r="AD102" s="354"/>
      <c r="AG102" s="273"/>
      <c r="AH102" s="273"/>
    </row>
    <row r="103" spans="2:34" ht="60" customHeight="1" x14ac:dyDescent="0.2">
      <c r="B103" s="11" t="s">
        <v>7</v>
      </c>
      <c r="C103" s="4" t="s">
        <v>20</v>
      </c>
      <c r="D103" s="4" t="s">
        <v>20</v>
      </c>
      <c r="E103" s="4" t="s">
        <v>8</v>
      </c>
      <c r="F103" s="4" t="s">
        <v>12</v>
      </c>
      <c r="G103" s="4" t="s">
        <v>16</v>
      </c>
      <c r="H103" s="4" t="s">
        <v>20</v>
      </c>
      <c r="I103" s="4"/>
      <c r="J103" s="197"/>
      <c r="K103" s="11"/>
      <c r="L103" s="6" t="s">
        <v>141</v>
      </c>
      <c r="M103" s="6"/>
      <c r="N103" s="133"/>
      <c r="O103" s="156"/>
      <c r="P103" s="156"/>
      <c r="Q103" s="125">
        <v>11000000</v>
      </c>
      <c r="R103" s="5">
        <f>SUM(R104:R105)</f>
        <v>11000000</v>
      </c>
      <c r="S103" s="181"/>
      <c r="T103" s="9"/>
      <c r="U103" s="245"/>
      <c r="V103" s="301"/>
      <c r="W103" s="331"/>
      <c r="X103" s="5"/>
      <c r="Y103" s="5"/>
      <c r="Z103" s="355"/>
      <c r="AA103" s="355"/>
      <c r="AB103" s="355"/>
      <c r="AC103" s="355"/>
      <c r="AD103" s="355"/>
      <c r="AG103" s="273"/>
      <c r="AH103" s="273"/>
    </row>
    <row r="104" spans="2:34" ht="15" customHeight="1" x14ac:dyDescent="0.2">
      <c r="B104" s="623"/>
      <c r="C104" s="624"/>
      <c r="D104" s="624"/>
      <c r="E104" s="624"/>
      <c r="F104" s="624"/>
      <c r="G104" s="624"/>
      <c r="H104" s="624"/>
      <c r="I104" s="624"/>
      <c r="J104" s="624"/>
      <c r="K104" s="99">
        <v>81141500</v>
      </c>
      <c r="L104" s="100" t="s">
        <v>259</v>
      </c>
      <c r="M104" s="134">
        <v>43952</v>
      </c>
      <c r="N104" s="134">
        <v>43983</v>
      </c>
      <c r="O104" s="157" t="s">
        <v>294</v>
      </c>
      <c r="P104" s="157" t="s">
        <v>318</v>
      </c>
      <c r="Q104" s="125"/>
      <c r="R104" s="101">
        <v>4000000</v>
      </c>
      <c r="S104" s="182" t="s">
        <v>386</v>
      </c>
      <c r="T104" s="102"/>
      <c r="U104" s="253" t="s">
        <v>268</v>
      </c>
      <c r="V104" s="302"/>
      <c r="W104" s="332"/>
      <c r="X104" s="174"/>
      <c r="Y104" s="174"/>
      <c r="Z104" s="352"/>
      <c r="AA104" s="352">
        <f>+R104-Y104</f>
        <v>4000000</v>
      </c>
      <c r="AB104" s="352">
        <f>+Z104-AA104</f>
        <v>-4000000</v>
      </c>
      <c r="AC104" s="352" t="str">
        <f>IF(Z104=0,"0",IF(Z104&gt;0,Y104-Z104,))</f>
        <v>0</v>
      </c>
      <c r="AD104" s="352">
        <f>+R104-Y104+AB104</f>
        <v>0</v>
      </c>
      <c r="AG104" s="273"/>
      <c r="AH104" s="273"/>
    </row>
    <row r="105" spans="2:34" ht="16.5" customHeight="1" x14ac:dyDescent="0.2">
      <c r="B105" s="625"/>
      <c r="C105" s="626"/>
      <c r="D105" s="626"/>
      <c r="E105" s="626"/>
      <c r="F105" s="626"/>
      <c r="G105" s="626"/>
      <c r="H105" s="626"/>
      <c r="I105" s="626"/>
      <c r="J105" s="626"/>
      <c r="K105" s="99">
        <v>81141500</v>
      </c>
      <c r="L105" s="100" t="s">
        <v>387</v>
      </c>
      <c r="M105" s="134">
        <v>43952</v>
      </c>
      <c r="N105" s="134">
        <v>43983</v>
      </c>
      <c r="O105" s="157" t="s">
        <v>294</v>
      </c>
      <c r="P105" s="157" t="s">
        <v>318</v>
      </c>
      <c r="Q105" s="125"/>
      <c r="R105" s="101">
        <v>7000000</v>
      </c>
      <c r="S105" s="182" t="s">
        <v>386</v>
      </c>
      <c r="T105" s="102"/>
      <c r="U105" s="253" t="s">
        <v>269</v>
      </c>
      <c r="V105" s="302"/>
      <c r="W105" s="332"/>
      <c r="X105" s="174"/>
      <c r="Y105" s="174"/>
      <c r="Z105" s="352"/>
      <c r="AA105" s="352">
        <f>+R105-Y105</f>
        <v>7000000</v>
      </c>
      <c r="AB105" s="352">
        <f>+Z105-AA105</f>
        <v>-7000000</v>
      </c>
      <c r="AC105" s="352" t="str">
        <f>IF(Z105=0,"0",IF(Z105&gt;0,Y105-Z105,))</f>
        <v>0</v>
      </c>
      <c r="AD105" s="352">
        <f>+R105-Y105+AB105</f>
        <v>0</v>
      </c>
      <c r="AG105" s="273"/>
      <c r="AH105" s="273"/>
    </row>
    <row r="106" spans="2:34" ht="18.2" customHeight="1" x14ac:dyDescent="0.2">
      <c r="B106" s="11" t="s">
        <v>7</v>
      </c>
      <c r="C106" s="4" t="s">
        <v>20</v>
      </c>
      <c r="D106" s="4" t="s">
        <v>20</v>
      </c>
      <c r="E106" s="4" t="s">
        <v>8</v>
      </c>
      <c r="F106" s="4" t="s">
        <v>12</v>
      </c>
      <c r="G106" s="4" t="s">
        <v>16</v>
      </c>
      <c r="H106" s="4" t="s">
        <v>23</v>
      </c>
      <c r="I106" s="4"/>
      <c r="J106" s="197"/>
      <c r="K106" s="11"/>
      <c r="L106" s="6" t="s">
        <v>142</v>
      </c>
      <c r="M106" s="6"/>
      <c r="N106" s="133"/>
      <c r="O106" s="156"/>
      <c r="P106" s="156"/>
      <c r="Q106" s="125">
        <v>7800000</v>
      </c>
      <c r="R106" s="5">
        <f>SUM(R107:R107)</f>
        <v>7800000</v>
      </c>
      <c r="S106" s="181"/>
      <c r="T106" s="9"/>
      <c r="U106" s="245"/>
      <c r="V106" s="301"/>
      <c r="W106" s="331"/>
      <c r="X106" s="5"/>
      <c r="Y106" s="5"/>
      <c r="Z106" s="355"/>
      <c r="AA106" s="355"/>
      <c r="AB106" s="355"/>
      <c r="AC106" s="355"/>
      <c r="AD106" s="355"/>
      <c r="AG106" s="273"/>
      <c r="AH106" s="273"/>
    </row>
    <row r="107" spans="2:34" ht="15.6" customHeight="1" x14ac:dyDescent="0.2">
      <c r="B107" s="623"/>
      <c r="C107" s="624"/>
      <c r="D107" s="624"/>
      <c r="E107" s="624"/>
      <c r="F107" s="624"/>
      <c r="G107" s="624"/>
      <c r="H107" s="624"/>
      <c r="I107" s="624"/>
      <c r="J107" s="624"/>
      <c r="K107" s="99"/>
      <c r="L107" s="124" t="s">
        <v>280</v>
      </c>
      <c r="M107" s="134">
        <v>43922</v>
      </c>
      <c r="N107" s="134">
        <v>43954</v>
      </c>
      <c r="O107" s="157" t="s">
        <v>307</v>
      </c>
      <c r="P107" s="157" t="s">
        <v>319</v>
      </c>
      <c r="Q107" s="125"/>
      <c r="R107" s="101">
        <v>7800000</v>
      </c>
      <c r="S107" s="182" t="s">
        <v>386</v>
      </c>
      <c r="T107" s="102"/>
      <c r="U107" s="253" t="s">
        <v>194</v>
      </c>
      <c r="V107" s="302">
        <v>14620</v>
      </c>
      <c r="W107" s="332">
        <v>43882</v>
      </c>
      <c r="X107" s="174">
        <v>7800000</v>
      </c>
      <c r="Y107" s="174">
        <v>7800000</v>
      </c>
      <c r="Z107" s="352">
        <v>0</v>
      </c>
      <c r="AA107" s="352">
        <f>+R107-Y107</f>
        <v>0</v>
      </c>
      <c r="AB107" s="352">
        <f>+Z107-AA107</f>
        <v>0</v>
      </c>
      <c r="AC107" s="352" t="str">
        <f>IF(Z107=0,"0",IF(Z107&gt;0,Y107-Z107,))</f>
        <v>0</v>
      </c>
      <c r="AD107" s="352">
        <f>+R107-Y107+AB107</f>
        <v>0</v>
      </c>
      <c r="AG107" s="273"/>
      <c r="AH107" s="273"/>
    </row>
    <row r="108" spans="2:34" ht="15" customHeight="1" x14ac:dyDescent="0.2">
      <c r="B108" s="41" t="s">
        <v>7</v>
      </c>
      <c r="C108" s="42" t="s">
        <v>20</v>
      </c>
      <c r="D108" s="42" t="s">
        <v>20</v>
      </c>
      <c r="E108" s="42" t="s">
        <v>20</v>
      </c>
      <c r="F108" s="42"/>
      <c r="G108" s="42"/>
      <c r="H108" s="42"/>
      <c r="I108" s="42"/>
      <c r="J108" s="194"/>
      <c r="K108" s="41"/>
      <c r="L108" s="43" t="s">
        <v>75</v>
      </c>
      <c r="M108" s="43"/>
      <c r="N108" s="130"/>
      <c r="O108" s="153"/>
      <c r="P108" s="153"/>
      <c r="Q108" s="125">
        <f>+Q109+Q113+Q127+Q133+Q191+Q210</f>
        <v>3926100000</v>
      </c>
      <c r="R108" s="44">
        <f>+R109+R113+R127+R133+R191+R210</f>
        <v>3876753000</v>
      </c>
      <c r="S108" s="180"/>
      <c r="T108" s="45"/>
      <c r="U108" s="251"/>
      <c r="V108" s="298"/>
      <c r="W108" s="328"/>
      <c r="X108" s="44"/>
      <c r="Y108" s="44"/>
      <c r="Z108" s="357"/>
      <c r="AA108" s="357"/>
      <c r="AB108" s="357"/>
      <c r="AC108" s="357"/>
      <c r="AD108" s="357"/>
      <c r="AG108" s="273"/>
      <c r="AH108" s="273"/>
    </row>
    <row r="109" spans="2:34" ht="15" customHeight="1" x14ac:dyDescent="0.2">
      <c r="B109" s="13" t="s">
        <v>7</v>
      </c>
      <c r="C109" s="14" t="s">
        <v>20</v>
      </c>
      <c r="D109" s="14" t="s">
        <v>20</v>
      </c>
      <c r="E109" s="14" t="s">
        <v>20</v>
      </c>
      <c r="F109" s="14" t="s">
        <v>13</v>
      </c>
      <c r="G109" s="14"/>
      <c r="H109" s="14"/>
      <c r="I109" s="14"/>
      <c r="J109" s="195"/>
      <c r="K109" s="13"/>
      <c r="L109" s="15" t="s">
        <v>76</v>
      </c>
      <c r="M109" s="15"/>
      <c r="N109" s="131"/>
      <c r="O109" s="154"/>
      <c r="P109" s="154"/>
      <c r="Q109" s="125">
        <f>+Q110</f>
        <v>90000000</v>
      </c>
      <c r="R109" s="16">
        <f>+R110</f>
        <v>91000000</v>
      </c>
      <c r="S109" s="14"/>
      <c r="T109" s="17"/>
      <c r="U109" s="252"/>
      <c r="V109" s="299"/>
      <c r="W109" s="329"/>
      <c r="X109" s="16"/>
      <c r="Y109" s="16"/>
      <c r="Z109" s="353"/>
      <c r="AA109" s="353"/>
      <c r="AB109" s="353"/>
      <c r="AC109" s="353"/>
      <c r="AD109" s="353"/>
      <c r="AG109" s="273"/>
      <c r="AH109" s="273"/>
    </row>
    <row r="110" spans="2:34" ht="15" customHeight="1" x14ac:dyDescent="0.2">
      <c r="B110" s="91" t="s">
        <v>7</v>
      </c>
      <c r="C110" s="92" t="s">
        <v>20</v>
      </c>
      <c r="D110" s="92" t="s">
        <v>20</v>
      </c>
      <c r="E110" s="92" t="s">
        <v>20</v>
      </c>
      <c r="F110" s="92" t="s">
        <v>13</v>
      </c>
      <c r="G110" s="92" t="s">
        <v>12</v>
      </c>
      <c r="H110" s="92"/>
      <c r="I110" s="92"/>
      <c r="J110" s="196"/>
      <c r="K110" s="91"/>
      <c r="L110" s="93" t="s">
        <v>77</v>
      </c>
      <c r="M110" s="93"/>
      <c r="N110" s="132"/>
      <c r="O110" s="155"/>
      <c r="P110" s="155"/>
      <c r="Q110" s="125">
        <f>+Q111</f>
        <v>90000000</v>
      </c>
      <c r="R110" s="94">
        <f>+R111</f>
        <v>91000000</v>
      </c>
      <c r="S110" s="92"/>
      <c r="T110" s="95"/>
      <c r="U110" s="244"/>
      <c r="V110" s="300"/>
      <c r="W110" s="330"/>
      <c r="X110" s="94"/>
      <c r="Y110" s="94"/>
      <c r="Z110" s="354"/>
      <c r="AA110" s="354"/>
      <c r="AB110" s="354"/>
      <c r="AC110" s="354"/>
      <c r="AD110" s="354"/>
      <c r="AG110" s="273"/>
      <c r="AH110" s="273"/>
    </row>
    <row r="111" spans="2:34" ht="15" customHeight="1" x14ac:dyDescent="0.2">
      <c r="B111" s="11" t="s">
        <v>7</v>
      </c>
      <c r="C111" s="4" t="s">
        <v>20</v>
      </c>
      <c r="D111" s="4" t="s">
        <v>20</v>
      </c>
      <c r="E111" s="4" t="s">
        <v>20</v>
      </c>
      <c r="F111" s="4" t="s">
        <v>13</v>
      </c>
      <c r="G111" s="4" t="s">
        <v>12</v>
      </c>
      <c r="H111" s="4" t="s">
        <v>28</v>
      </c>
      <c r="I111" s="4"/>
      <c r="J111" s="197"/>
      <c r="K111" s="11"/>
      <c r="L111" s="6" t="s">
        <v>79</v>
      </c>
      <c r="M111" s="6"/>
      <c r="N111" s="133"/>
      <c r="O111" s="156"/>
      <c r="P111" s="156"/>
      <c r="Q111" s="125">
        <v>90000000</v>
      </c>
      <c r="R111" s="5">
        <f>SUM(R112:R112)</f>
        <v>91000000</v>
      </c>
      <c r="S111" s="181"/>
      <c r="T111" s="9"/>
      <c r="U111" s="245"/>
      <c r="V111" s="301"/>
      <c r="W111" s="331"/>
      <c r="X111" s="5"/>
      <c r="Y111" s="5"/>
      <c r="Z111" s="355"/>
      <c r="AA111" s="355"/>
      <c r="AB111" s="355"/>
      <c r="AC111" s="355"/>
      <c r="AD111" s="355"/>
      <c r="AG111" s="273"/>
      <c r="AH111" s="273"/>
    </row>
    <row r="112" spans="2:34" ht="30" customHeight="1" x14ac:dyDescent="0.2">
      <c r="B112" s="623"/>
      <c r="C112" s="624"/>
      <c r="D112" s="624"/>
      <c r="E112" s="624"/>
      <c r="F112" s="624"/>
      <c r="G112" s="624"/>
      <c r="H112" s="624"/>
      <c r="I112" s="624"/>
      <c r="J112" s="624"/>
      <c r="K112" s="99"/>
      <c r="L112" s="100" t="s">
        <v>195</v>
      </c>
      <c r="M112" s="134">
        <v>43922</v>
      </c>
      <c r="N112" s="134">
        <v>43955</v>
      </c>
      <c r="O112" s="157" t="s">
        <v>307</v>
      </c>
      <c r="P112" s="157" t="s">
        <v>319</v>
      </c>
      <c r="Q112" s="125"/>
      <c r="R112" s="101">
        <v>91000000</v>
      </c>
      <c r="S112" s="182" t="s">
        <v>386</v>
      </c>
      <c r="T112" s="102"/>
      <c r="U112" s="253" t="s">
        <v>194</v>
      </c>
      <c r="V112" s="302"/>
      <c r="W112" s="332"/>
      <c r="X112" s="174"/>
      <c r="Y112" s="174"/>
      <c r="Z112" s="352"/>
      <c r="AA112" s="352">
        <f>+R112-Y112</f>
        <v>91000000</v>
      </c>
      <c r="AB112" s="352">
        <f>+Z112-AA112</f>
        <v>-91000000</v>
      </c>
      <c r="AC112" s="352" t="str">
        <f>IF(Z112=0,"0",IF(Z112&gt;0,Y112-Z112,))</f>
        <v>0</v>
      </c>
      <c r="AD112" s="352">
        <f>+R112-Y112+AB112</f>
        <v>0</v>
      </c>
      <c r="AG112" s="273"/>
      <c r="AH112" s="273"/>
    </row>
    <row r="113" spans="2:34" ht="45" customHeight="1" x14ac:dyDescent="0.2">
      <c r="B113" s="13" t="s">
        <v>7</v>
      </c>
      <c r="C113" s="14" t="s">
        <v>20</v>
      </c>
      <c r="D113" s="14" t="s">
        <v>20</v>
      </c>
      <c r="E113" s="14" t="s">
        <v>20</v>
      </c>
      <c r="F113" s="14" t="s">
        <v>14</v>
      </c>
      <c r="G113" s="14"/>
      <c r="H113" s="14"/>
      <c r="I113" s="14"/>
      <c r="J113" s="195"/>
      <c r="K113" s="13"/>
      <c r="L113" s="15" t="s">
        <v>81</v>
      </c>
      <c r="M113" s="15"/>
      <c r="N113" s="131"/>
      <c r="O113" s="154"/>
      <c r="P113" s="154"/>
      <c r="Q113" s="125">
        <f>+Q114+Q118+Q121</f>
        <v>352000000</v>
      </c>
      <c r="R113" s="16">
        <f>+R114+R118+R121</f>
        <v>250040000</v>
      </c>
      <c r="S113" s="14"/>
      <c r="T113" s="17"/>
      <c r="U113" s="252"/>
      <c r="V113" s="299"/>
      <c r="W113" s="329"/>
      <c r="X113" s="16"/>
      <c r="Y113" s="16"/>
      <c r="Z113" s="353"/>
      <c r="AA113" s="353"/>
      <c r="AB113" s="353"/>
      <c r="AC113" s="353"/>
      <c r="AD113" s="353"/>
      <c r="AG113" s="273"/>
      <c r="AH113" s="273"/>
    </row>
    <row r="114" spans="2:34" ht="15" customHeight="1" x14ac:dyDescent="0.2">
      <c r="B114" s="91" t="s">
        <v>7</v>
      </c>
      <c r="C114" s="92" t="s">
        <v>20</v>
      </c>
      <c r="D114" s="92" t="s">
        <v>20</v>
      </c>
      <c r="E114" s="92" t="s">
        <v>20</v>
      </c>
      <c r="F114" s="92" t="s">
        <v>14</v>
      </c>
      <c r="G114" s="92" t="s">
        <v>12</v>
      </c>
      <c r="H114" s="92"/>
      <c r="I114" s="92"/>
      <c r="J114" s="196"/>
      <c r="K114" s="91"/>
      <c r="L114" s="93" t="s">
        <v>82</v>
      </c>
      <c r="M114" s="93"/>
      <c r="N114" s="132"/>
      <c r="O114" s="155"/>
      <c r="P114" s="155"/>
      <c r="Q114" s="125">
        <v>69000000</v>
      </c>
      <c r="R114" s="94">
        <f>SUM(R115:R117)</f>
        <v>69000000</v>
      </c>
      <c r="S114" s="92"/>
      <c r="T114" s="95"/>
      <c r="U114" s="244"/>
      <c r="V114" s="300"/>
      <c r="W114" s="330"/>
      <c r="X114" s="94"/>
      <c r="Y114" s="94"/>
      <c r="Z114" s="354"/>
      <c r="AA114" s="354"/>
      <c r="AB114" s="354"/>
      <c r="AC114" s="354"/>
      <c r="AD114" s="354"/>
      <c r="AG114" s="273"/>
      <c r="AH114" s="273"/>
    </row>
    <row r="115" spans="2:34" ht="60" customHeight="1" x14ac:dyDescent="0.2">
      <c r="B115" s="623"/>
      <c r="C115" s="624"/>
      <c r="D115" s="624"/>
      <c r="E115" s="624"/>
      <c r="F115" s="624"/>
      <c r="G115" s="624"/>
      <c r="H115" s="624"/>
      <c r="I115" s="624"/>
      <c r="J115" s="624"/>
      <c r="K115" s="177" t="s">
        <v>383</v>
      </c>
      <c r="L115" s="178" t="s">
        <v>245</v>
      </c>
      <c r="M115" s="134">
        <v>43901</v>
      </c>
      <c r="N115" s="134">
        <v>43920</v>
      </c>
      <c r="O115" s="157" t="s">
        <v>324</v>
      </c>
      <c r="P115" s="157" t="s">
        <v>382</v>
      </c>
      <c r="Q115" s="101"/>
      <c r="R115" s="101">
        <v>50000000</v>
      </c>
      <c r="S115" s="182" t="s">
        <v>386</v>
      </c>
      <c r="T115" s="102"/>
      <c r="U115" s="253" t="s">
        <v>270</v>
      </c>
      <c r="V115" s="302"/>
      <c r="W115" s="332"/>
      <c r="X115" s="174"/>
      <c r="Y115" s="174"/>
      <c r="Z115" s="352"/>
      <c r="AA115" s="352">
        <f>+R115-Y115</f>
        <v>50000000</v>
      </c>
      <c r="AB115" s="352">
        <f>+Z115-AA115</f>
        <v>-50000000</v>
      </c>
      <c r="AC115" s="352" t="str">
        <f>IF(Z115=0,"0",IF(Z115&gt;0,Y115-Z115,))</f>
        <v>0</v>
      </c>
      <c r="AD115" s="352">
        <f>+R115-Y115+AB115</f>
        <v>0</v>
      </c>
      <c r="AG115" s="273"/>
      <c r="AH115" s="273"/>
    </row>
    <row r="116" spans="2:34" ht="60" customHeight="1" x14ac:dyDescent="0.2">
      <c r="B116" s="625"/>
      <c r="C116" s="626"/>
      <c r="D116" s="626"/>
      <c r="E116" s="626"/>
      <c r="F116" s="626"/>
      <c r="G116" s="626"/>
      <c r="H116" s="626"/>
      <c r="I116" s="626"/>
      <c r="J116" s="626"/>
      <c r="K116" s="177" t="s">
        <v>383</v>
      </c>
      <c r="L116" s="178" t="s">
        <v>246</v>
      </c>
      <c r="M116" s="134">
        <v>43901</v>
      </c>
      <c r="N116" s="134">
        <v>43920</v>
      </c>
      <c r="O116" s="157" t="s">
        <v>324</v>
      </c>
      <c r="P116" s="157" t="s">
        <v>318</v>
      </c>
      <c r="Q116" s="101"/>
      <c r="R116" s="101">
        <v>12000000</v>
      </c>
      <c r="S116" s="182" t="s">
        <v>386</v>
      </c>
      <c r="T116" s="102"/>
      <c r="U116" s="253" t="s">
        <v>270</v>
      </c>
      <c r="V116" s="302">
        <v>19620</v>
      </c>
      <c r="W116" s="332">
        <v>43902</v>
      </c>
      <c r="X116" s="174">
        <v>12000000</v>
      </c>
      <c r="Y116" s="174">
        <v>12000000</v>
      </c>
      <c r="Z116" s="352">
        <v>0</v>
      </c>
      <c r="AA116" s="352">
        <f>+R116-Y116</f>
        <v>0</v>
      </c>
      <c r="AB116" s="352">
        <f>+Z116-AA116</f>
        <v>0</v>
      </c>
      <c r="AC116" s="352" t="str">
        <f>IF(Z116=0,"0",IF(Z116&gt;0,Y116-Z116,))</f>
        <v>0</v>
      </c>
      <c r="AD116" s="352">
        <f>+R116-Y116+AB116</f>
        <v>0</v>
      </c>
      <c r="AG116" s="273"/>
      <c r="AH116" s="273"/>
    </row>
    <row r="117" spans="2:34" ht="75" customHeight="1" x14ac:dyDescent="0.2">
      <c r="B117" s="625"/>
      <c r="C117" s="626"/>
      <c r="D117" s="626"/>
      <c r="E117" s="626"/>
      <c r="F117" s="626"/>
      <c r="G117" s="626"/>
      <c r="H117" s="626"/>
      <c r="I117" s="626"/>
      <c r="J117" s="626"/>
      <c r="K117" s="113"/>
      <c r="L117" s="114" t="s">
        <v>248</v>
      </c>
      <c r="M117" s="114"/>
      <c r="N117" s="137"/>
      <c r="O117" s="160"/>
      <c r="P117" s="160"/>
      <c r="Q117" s="125"/>
      <c r="R117" s="115">
        <v>7000000</v>
      </c>
      <c r="S117" s="187"/>
      <c r="T117" s="116"/>
      <c r="U117" s="256"/>
      <c r="V117" s="302" t="s">
        <v>436</v>
      </c>
      <c r="W117" s="332" t="s">
        <v>437</v>
      </c>
      <c r="X117" s="174">
        <f>640000+640000+490052+123141+39758</f>
        <v>1932951</v>
      </c>
      <c r="Y117" s="174">
        <f>640000+640000+490052+123141+39758</f>
        <v>1932951</v>
      </c>
      <c r="Z117" s="352"/>
      <c r="AA117" s="352">
        <f>+R117-Y117</f>
        <v>5067049</v>
      </c>
      <c r="AB117" s="352">
        <f>+Z117-AA117</f>
        <v>-5067049</v>
      </c>
      <c r="AC117" s="352" t="str">
        <f>IF(Z117=0,"0",IF(Z117&gt;0,Y117-Z117,))</f>
        <v>0</v>
      </c>
      <c r="AD117" s="352">
        <f>+R117-Y117+AB117</f>
        <v>0</v>
      </c>
      <c r="AG117" s="273"/>
      <c r="AH117" s="273"/>
    </row>
    <row r="118" spans="2:34" ht="15" customHeight="1" x14ac:dyDescent="0.2">
      <c r="B118" s="91" t="s">
        <v>7</v>
      </c>
      <c r="C118" s="92" t="s">
        <v>20</v>
      </c>
      <c r="D118" s="92" t="s">
        <v>20</v>
      </c>
      <c r="E118" s="92" t="s">
        <v>20</v>
      </c>
      <c r="F118" s="92" t="s">
        <v>14</v>
      </c>
      <c r="G118" s="92" t="s">
        <v>16</v>
      </c>
      <c r="H118" s="92"/>
      <c r="I118" s="92"/>
      <c r="J118" s="196"/>
      <c r="K118" s="91"/>
      <c r="L118" s="93" t="s">
        <v>83</v>
      </c>
      <c r="M118" s="93"/>
      <c r="N118" s="132"/>
      <c r="O118" s="155"/>
      <c r="P118" s="155"/>
      <c r="Q118" s="125">
        <v>13000000</v>
      </c>
      <c r="R118" s="94">
        <f>SUM(R119:R120)</f>
        <v>13000000</v>
      </c>
      <c r="S118" s="92"/>
      <c r="T118" s="95"/>
      <c r="U118" s="244"/>
      <c r="V118" s="300"/>
      <c r="W118" s="330"/>
      <c r="X118" s="94"/>
      <c r="Y118" s="94"/>
      <c r="Z118" s="354"/>
      <c r="AA118" s="354"/>
      <c r="AB118" s="354"/>
      <c r="AC118" s="354"/>
      <c r="AD118" s="354"/>
      <c r="AG118" s="273"/>
      <c r="AH118" s="273"/>
    </row>
    <row r="119" spans="2:34" ht="15" customHeight="1" x14ac:dyDescent="0.2">
      <c r="B119" s="623"/>
      <c r="C119" s="624"/>
      <c r="D119" s="624"/>
      <c r="E119" s="624"/>
      <c r="F119" s="624"/>
      <c r="G119" s="624"/>
      <c r="H119" s="624"/>
      <c r="I119" s="624"/>
      <c r="J119" s="624"/>
      <c r="K119" s="99">
        <v>83111600</v>
      </c>
      <c r="L119" s="100" t="s">
        <v>247</v>
      </c>
      <c r="M119" s="134">
        <v>43475</v>
      </c>
      <c r="N119" s="134">
        <v>43871</v>
      </c>
      <c r="O119" s="157" t="s">
        <v>324</v>
      </c>
      <c r="P119" s="157" t="s">
        <v>318</v>
      </c>
      <c r="Q119" s="125"/>
      <c r="R119" s="101">
        <v>10000000</v>
      </c>
      <c r="S119" s="182" t="s">
        <v>386</v>
      </c>
      <c r="T119" s="102"/>
      <c r="U119" s="253" t="s">
        <v>271</v>
      </c>
      <c r="V119" s="302">
        <v>4120</v>
      </c>
      <c r="W119" s="332">
        <v>43844</v>
      </c>
      <c r="X119" s="174">
        <v>10000000</v>
      </c>
      <c r="Y119" s="174">
        <v>10000000</v>
      </c>
      <c r="Z119" s="352">
        <v>10000000</v>
      </c>
      <c r="AA119" s="352">
        <f>+R119-Y119</f>
        <v>0</v>
      </c>
      <c r="AB119" s="352">
        <f>+Z119-AA119</f>
        <v>10000000</v>
      </c>
      <c r="AC119" s="352">
        <f>IF(Z119=0,"0",IF(Z119&gt;0,Y119-Z119,))</f>
        <v>0</v>
      </c>
      <c r="AD119" s="352">
        <f>+R119-Y119+AB119</f>
        <v>10000000</v>
      </c>
      <c r="AG119" s="273"/>
      <c r="AH119" s="273"/>
    </row>
    <row r="120" spans="2:34" ht="75" customHeight="1" x14ac:dyDescent="0.2">
      <c r="B120" s="625"/>
      <c r="C120" s="626"/>
      <c r="D120" s="626"/>
      <c r="E120" s="626"/>
      <c r="F120" s="626"/>
      <c r="G120" s="626"/>
      <c r="H120" s="626"/>
      <c r="I120" s="626"/>
      <c r="J120" s="626"/>
      <c r="K120" s="113"/>
      <c r="L120" s="114" t="s">
        <v>249</v>
      </c>
      <c r="M120" s="114"/>
      <c r="N120" s="137"/>
      <c r="O120" s="160"/>
      <c r="P120" s="160"/>
      <c r="Q120" s="125"/>
      <c r="R120" s="115">
        <v>3000000</v>
      </c>
      <c r="S120" s="187"/>
      <c r="T120" s="116"/>
      <c r="U120" s="256"/>
      <c r="V120" s="302" t="s">
        <v>438</v>
      </c>
      <c r="W120" s="332" t="s">
        <v>439</v>
      </c>
      <c r="X120" s="174">
        <f>300000+300000+9036+12751+10040</f>
        <v>631827</v>
      </c>
      <c r="Y120" s="174"/>
      <c r="Z120" s="352"/>
      <c r="AA120" s="352">
        <f>+R120-Y120</f>
        <v>3000000</v>
      </c>
      <c r="AB120" s="352">
        <f>+Z120-AA120</f>
        <v>-3000000</v>
      </c>
      <c r="AC120" s="352" t="str">
        <f>IF(Z120=0,"0",IF(Z120&gt;0,Y120-Z120,))</f>
        <v>0</v>
      </c>
      <c r="AD120" s="352">
        <f>+R120-Y120+AB120</f>
        <v>0</v>
      </c>
      <c r="AG120" s="273"/>
      <c r="AH120" s="273"/>
    </row>
    <row r="121" spans="2:34" ht="30" customHeight="1" x14ac:dyDescent="0.2">
      <c r="B121" s="91" t="s">
        <v>7</v>
      </c>
      <c r="C121" s="92" t="s">
        <v>20</v>
      </c>
      <c r="D121" s="92" t="s">
        <v>20</v>
      </c>
      <c r="E121" s="92" t="s">
        <v>20</v>
      </c>
      <c r="F121" s="92" t="s">
        <v>14</v>
      </c>
      <c r="G121" s="92" t="s">
        <v>17</v>
      </c>
      <c r="H121" s="92"/>
      <c r="I121" s="92"/>
      <c r="J121" s="196"/>
      <c r="K121" s="91"/>
      <c r="L121" s="93" t="s">
        <v>84</v>
      </c>
      <c r="M121" s="93"/>
      <c r="N121" s="132"/>
      <c r="O121" s="155"/>
      <c r="P121" s="155"/>
      <c r="Q121" s="125">
        <f>SUM(Q122:Q122)</f>
        <v>270000000</v>
      </c>
      <c r="R121" s="94">
        <f>SUM(R122:R122)</f>
        <v>168040000</v>
      </c>
      <c r="S121" s="92"/>
      <c r="T121" s="95"/>
      <c r="U121" s="244"/>
      <c r="V121" s="300"/>
      <c r="W121" s="330"/>
      <c r="X121" s="94"/>
      <c r="Y121" s="94"/>
      <c r="Z121" s="354"/>
      <c r="AA121" s="354"/>
      <c r="AB121" s="354"/>
      <c r="AC121" s="354"/>
      <c r="AD121" s="354"/>
      <c r="AG121" s="273"/>
      <c r="AH121" s="273"/>
    </row>
    <row r="122" spans="2:34" ht="30" customHeight="1" x14ac:dyDescent="0.2">
      <c r="B122" s="11" t="s">
        <v>7</v>
      </c>
      <c r="C122" s="4" t="s">
        <v>20</v>
      </c>
      <c r="D122" s="4" t="s">
        <v>20</v>
      </c>
      <c r="E122" s="4" t="s">
        <v>20</v>
      </c>
      <c r="F122" s="4" t="s">
        <v>14</v>
      </c>
      <c r="G122" s="4" t="s">
        <v>17</v>
      </c>
      <c r="H122" s="4" t="s">
        <v>8</v>
      </c>
      <c r="I122" s="4"/>
      <c r="J122" s="197"/>
      <c r="K122" s="11"/>
      <c r="L122" s="6" t="s">
        <v>85</v>
      </c>
      <c r="M122" s="6"/>
      <c r="N122" s="133"/>
      <c r="O122" s="156"/>
      <c r="P122" s="156"/>
      <c r="Q122" s="125">
        <v>270000000</v>
      </c>
      <c r="R122" s="5">
        <f>SUM(R123:R124)</f>
        <v>168040000</v>
      </c>
      <c r="S122" s="181"/>
      <c r="T122" s="9"/>
      <c r="U122" s="245"/>
      <c r="V122" s="301"/>
      <c r="W122" s="331"/>
      <c r="X122" s="5"/>
      <c r="Y122" s="5"/>
      <c r="Z122" s="355"/>
      <c r="AA122" s="355"/>
      <c r="AB122" s="355"/>
      <c r="AC122" s="355"/>
      <c r="AD122" s="355"/>
      <c r="AG122" s="273"/>
      <c r="AH122" s="273"/>
    </row>
    <row r="123" spans="2:34" ht="37.5" customHeight="1" x14ac:dyDescent="0.2">
      <c r="B123" s="623"/>
      <c r="C123" s="624"/>
      <c r="D123" s="624"/>
      <c r="E123" s="624"/>
      <c r="F123" s="624"/>
      <c r="G123" s="624"/>
      <c r="H123" s="624"/>
      <c r="I123" s="624"/>
      <c r="J123" s="624"/>
      <c r="K123" s="99">
        <v>83101800</v>
      </c>
      <c r="L123" s="178" t="s">
        <v>250</v>
      </c>
      <c r="M123" s="134" t="s">
        <v>375</v>
      </c>
      <c r="N123" s="134">
        <v>43832</v>
      </c>
      <c r="O123" s="157" t="s">
        <v>301</v>
      </c>
      <c r="P123" s="134" t="s">
        <v>375</v>
      </c>
      <c r="Q123" s="125"/>
      <c r="R123" s="101">
        <f>208000000-87400000</f>
        <v>120600000</v>
      </c>
      <c r="S123" s="182" t="s">
        <v>386</v>
      </c>
      <c r="T123" s="102"/>
      <c r="U123" s="253" t="s">
        <v>271</v>
      </c>
      <c r="V123" s="302" t="s">
        <v>441</v>
      </c>
      <c r="W123" s="332"/>
      <c r="X123" s="174">
        <v>99440878</v>
      </c>
      <c r="Y123" s="174">
        <v>99440878</v>
      </c>
      <c r="Z123" s="352">
        <v>99440878</v>
      </c>
      <c r="AA123" s="352">
        <f>+R123-Y123</f>
        <v>21159122</v>
      </c>
      <c r="AB123" s="352">
        <f>+Z123-AA123</f>
        <v>78281756</v>
      </c>
      <c r="AC123" s="352">
        <f>IF(Z123=0,"0",IF(Z123&gt;0,Y123-Z123,))</f>
        <v>0</v>
      </c>
      <c r="AD123" s="352">
        <f>+R123-Y123+AB123</f>
        <v>99440878</v>
      </c>
      <c r="AG123" s="273"/>
      <c r="AH123" s="273"/>
    </row>
    <row r="124" spans="2:34" ht="37.5" customHeight="1" x14ac:dyDescent="0.2">
      <c r="B124" s="625"/>
      <c r="C124" s="626"/>
      <c r="D124" s="626"/>
      <c r="E124" s="626"/>
      <c r="F124" s="626"/>
      <c r="G124" s="626"/>
      <c r="H124" s="626"/>
      <c r="I124" s="626"/>
      <c r="J124" s="626"/>
      <c r="K124" s="99">
        <v>83101600</v>
      </c>
      <c r="L124" s="178" t="s">
        <v>251</v>
      </c>
      <c r="M124" s="134" t="s">
        <v>375</v>
      </c>
      <c r="N124" s="134">
        <v>43832</v>
      </c>
      <c r="O124" s="157" t="s">
        <v>301</v>
      </c>
      <c r="P124" s="134" t="s">
        <v>375</v>
      </c>
      <c r="Q124" s="125"/>
      <c r="R124" s="101">
        <f>62000000-14560000</f>
        <v>47440000</v>
      </c>
      <c r="S124" s="182" t="s">
        <v>386</v>
      </c>
      <c r="T124" s="102"/>
      <c r="U124" s="253" t="s">
        <v>271</v>
      </c>
      <c r="V124" s="302" t="s">
        <v>440</v>
      </c>
      <c r="W124" s="332"/>
      <c r="X124" s="174">
        <v>34931678</v>
      </c>
      <c r="Y124" s="174">
        <v>34931678</v>
      </c>
      <c r="Z124" s="352">
        <v>34931678</v>
      </c>
      <c r="AA124" s="352">
        <f>+R124-Y124</f>
        <v>12508322</v>
      </c>
      <c r="AB124" s="352">
        <f>+Z124-AA124</f>
        <v>22423356</v>
      </c>
      <c r="AC124" s="352">
        <f>IF(Z124=0,"0",IF(Z124&gt;0,Y124-Z124,))</f>
        <v>0</v>
      </c>
      <c r="AD124" s="352">
        <f>+R124+-Y124+AB124</f>
        <v>34931678</v>
      </c>
      <c r="AG124" s="273"/>
      <c r="AH124" s="273"/>
    </row>
    <row r="125" spans="2:34" ht="30" customHeight="1" x14ac:dyDescent="0.2">
      <c r="B125" s="13" t="s">
        <v>7</v>
      </c>
      <c r="C125" s="14" t="s">
        <v>20</v>
      </c>
      <c r="D125" s="14" t="s">
        <v>20</v>
      </c>
      <c r="E125" s="14" t="s">
        <v>20</v>
      </c>
      <c r="F125" s="14" t="s">
        <v>15</v>
      </c>
      <c r="G125" s="14"/>
      <c r="H125" s="14"/>
      <c r="I125" s="14"/>
      <c r="J125" s="195"/>
      <c r="K125" s="13">
        <v>83101600</v>
      </c>
      <c r="L125" s="15" t="s">
        <v>86</v>
      </c>
      <c r="M125" s="15"/>
      <c r="N125" s="131"/>
      <c r="O125" s="154"/>
      <c r="P125" s="154"/>
      <c r="Q125" s="125">
        <f t="shared" ref="Q125:R127" si="1">+Q126</f>
        <v>1776000000</v>
      </c>
      <c r="R125" s="16">
        <f t="shared" si="1"/>
        <v>1776000000</v>
      </c>
      <c r="S125" s="14"/>
      <c r="T125" s="17"/>
      <c r="U125" s="252"/>
      <c r="V125" s="299"/>
      <c r="W125" s="329"/>
      <c r="X125" s="16"/>
      <c r="Y125" s="16"/>
      <c r="Z125" s="353"/>
      <c r="AA125" s="353"/>
      <c r="AB125" s="353"/>
      <c r="AC125" s="353"/>
      <c r="AD125" s="353"/>
      <c r="AG125" s="273"/>
      <c r="AH125" s="273"/>
    </row>
    <row r="126" spans="2:34" ht="15" customHeight="1" x14ac:dyDescent="0.2">
      <c r="B126" s="91" t="s">
        <v>7</v>
      </c>
      <c r="C126" s="92" t="s">
        <v>20</v>
      </c>
      <c r="D126" s="92" t="s">
        <v>20</v>
      </c>
      <c r="E126" s="92" t="s">
        <v>20</v>
      </c>
      <c r="F126" s="92" t="s">
        <v>15</v>
      </c>
      <c r="G126" s="92" t="s">
        <v>9</v>
      </c>
      <c r="H126" s="92"/>
      <c r="I126" s="92"/>
      <c r="J126" s="196"/>
      <c r="K126" s="91"/>
      <c r="L126" s="93" t="s">
        <v>139</v>
      </c>
      <c r="M126" s="93"/>
      <c r="N126" s="132"/>
      <c r="O126" s="155"/>
      <c r="P126" s="155"/>
      <c r="Q126" s="125">
        <f t="shared" si="1"/>
        <v>1776000000</v>
      </c>
      <c r="R126" s="94">
        <f t="shared" si="1"/>
        <v>1776000000</v>
      </c>
      <c r="S126" s="92"/>
      <c r="T126" s="95"/>
      <c r="U126" s="244"/>
      <c r="V126" s="300"/>
      <c r="W126" s="330"/>
      <c r="X126" s="94"/>
      <c r="Y126" s="94"/>
      <c r="Z126" s="354"/>
      <c r="AA126" s="354"/>
      <c r="AB126" s="354"/>
      <c r="AC126" s="354"/>
      <c r="AD126" s="354"/>
      <c r="AG126" s="273"/>
      <c r="AH126" s="273"/>
    </row>
    <row r="127" spans="2:34" ht="30" customHeight="1" x14ac:dyDescent="0.2">
      <c r="B127" s="11" t="s">
        <v>7</v>
      </c>
      <c r="C127" s="4" t="s">
        <v>20</v>
      </c>
      <c r="D127" s="4" t="s">
        <v>20</v>
      </c>
      <c r="E127" s="4" t="s">
        <v>20</v>
      </c>
      <c r="F127" s="4" t="s">
        <v>15</v>
      </c>
      <c r="G127" s="4" t="s">
        <v>9</v>
      </c>
      <c r="H127" s="4" t="s">
        <v>23</v>
      </c>
      <c r="I127" s="4"/>
      <c r="J127" s="197"/>
      <c r="K127" s="11"/>
      <c r="L127" s="6" t="s">
        <v>87</v>
      </c>
      <c r="M127" s="6"/>
      <c r="N127" s="133"/>
      <c r="O127" s="156"/>
      <c r="P127" s="156"/>
      <c r="Q127" s="125">
        <f t="shared" si="1"/>
        <v>1776000000</v>
      </c>
      <c r="R127" s="5">
        <f t="shared" si="1"/>
        <v>1776000000</v>
      </c>
      <c r="S127" s="181"/>
      <c r="T127" s="9"/>
      <c r="U127" s="245"/>
      <c r="V127" s="301"/>
      <c r="W127" s="331"/>
      <c r="X127" s="5"/>
      <c r="Y127" s="5"/>
      <c r="Z127" s="355"/>
      <c r="AA127" s="355"/>
      <c r="AB127" s="355"/>
      <c r="AC127" s="355"/>
      <c r="AD127" s="355"/>
      <c r="AG127" s="273"/>
      <c r="AH127" s="273"/>
    </row>
    <row r="128" spans="2:34" ht="30" customHeight="1" x14ac:dyDescent="0.2">
      <c r="B128" s="11" t="s">
        <v>7</v>
      </c>
      <c r="C128" s="4" t="s">
        <v>20</v>
      </c>
      <c r="D128" s="4" t="s">
        <v>20</v>
      </c>
      <c r="E128" s="4" t="s">
        <v>20</v>
      </c>
      <c r="F128" s="4" t="s">
        <v>15</v>
      </c>
      <c r="G128" s="4" t="s">
        <v>9</v>
      </c>
      <c r="H128" s="4" t="s">
        <v>23</v>
      </c>
      <c r="I128" s="4" t="s">
        <v>34</v>
      </c>
      <c r="J128" s="197"/>
      <c r="K128" s="11"/>
      <c r="L128" s="6" t="s">
        <v>88</v>
      </c>
      <c r="M128" s="6"/>
      <c r="N128" s="133"/>
      <c r="O128" s="156"/>
      <c r="P128" s="156"/>
      <c r="Q128" s="125">
        <f>+Q129+Q131</f>
        <v>1776000000</v>
      </c>
      <c r="R128" s="5">
        <f>+R129+R131</f>
        <v>1776000000</v>
      </c>
      <c r="S128" s="181"/>
      <c r="T128" s="9"/>
      <c r="U128" s="245"/>
      <c r="V128" s="301"/>
      <c r="W128" s="331"/>
      <c r="X128" s="5"/>
      <c r="Y128" s="5"/>
      <c r="Z128" s="355"/>
      <c r="AA128" s="355"/>
      <c r="AB128" s="355"/>
      <c r="AC128" s="355"/>
      <c r="AD128" s="355"/>
      <c r="AG128" s="273"/>
      <c r="AH128" s="273"/>
    </row>
    <row r="129" spans="2:34" ht="17.649999999999999" customHeight="1" x14ac:dyDescent="0.2">
      <c r="B129" s="11" t="s">
        <v>7</v>
      </c>
      <c r="C129" s="4" t="s">
        <v>20</v>
      </c>
      <c r="D129" s="4" t="s">
        <v>20</v>
      </c>
      <c r="E129" s="4" t="s">
        <v>20</v>
      </c>
      <c r="F129" s="4" t="s">
        <v>15</v>
      </c>
      <c r="G129" s="4" t="s">
        <v>9</v>
      </c>
      <c r="H129" s="4" t="s">
        <v>23</v>
      </c>
      <c r="I129" s="4" t="s">
        <v>34</v>
      </c>
      <c r="J129" s="197" t="s">
        <v>24</v>
      </c>
      <c r="K129" s="11"/>
      <c r="L129" s="6" t="s">
        <v>89</v>
      </c>
      <c r="M129" s="6"/>
      <c r="N129" s="133"/>
      <c r="O129" s="156"/>
      <c r="P129" s="156"/>
      <c r="Q129" s="125">
        <v>1774000000</v>
      </c>
      <c r="R129" s="5">
        <f>SUM(R130:R130)</f>
        <v>1774000000</v>
      </c>
      <c r="S129" s="181"/>
      <c r="T129" s="9"/>
      <c r="U129" s="245"/>
      <c r="V129" s="301"/>
      <c r="W129" s="331"/>
      <c r="X129" s="5"/>
      <c r="Y129" s="5"/>
      <c r="Z129" s="355"/>
      <c r="AA129" s="355"/>
      <c r="AB129" s="355"/>
      <c r="AC129" s="355"/>
      <c r="AD129" s="355"/>
      <c r="AG129" s="273"/>
      <c r="AH129" s="273"/>
    </row>
    <row r="130" spans="2:34" ht="30" customHeight="1" x14ac:dyDescent="0.2">
      <c r="B130" s="623"/>
      <c r="C130" s="624"/>
      <c r="D130" s="624"/>
      <c r="E130" s="624"/>
      <c r="F130" s="624"/>
      <c r="G130" s="624"/>
      <c r="H130" s="624"/>
      <c r="I130" s="624"/>
      <c r="J130" s="624"/>
      <c r="K130" s="99">
        <v>83112400</v>
      </c>
      <c r="L130" s="178" t="s">
        <v>89</v>
      </c>
      <c r="M130" s="134">
        <v>43834</v>
      </c>
      <c r="N130" s="134">
        <v>43840</v>
      </c>
      <c r="O130" s="157" t="s">
        <v>324</v>
      </c>
      <c r="P130" s="157" t="s">
        <v>317</v>
      </c>
      <c r="Q130" s="125"/>
      <c r="R130" s="101">
        <v>1774000000</v>
      </c>
      <c r="S130" s="182" t="s">
        <v>386</v>
      </c>
      <c r="T130" s="102"/>
      <c r="U130" s="253" t="s">
        <v>272</v>
      </c>
      <c r="V130" s="599" t="s">
        <v>425</v>
      </c>
      <c r="W130" s="602" t="s">
        <v>426</v>
      </c>
      <c r="X130" s="605">
        <f>156406441+1619593559</f>
        <v>1776000000</v>
      </c>
      <c r="Y130" s="605">
        <f>156406441+1619593559</f>
        <v>1776000000</v>
      </c>
      <c r="Z130" s="593">
        <v>1774665374</v>
      </c>
      <c r="AA130" s="593">
        <f>+R130+R132-Y130</f>
        <v>0</v>
      </c>
      <c r="AB130" s="593">
        <f>+Y130-Z130</f>
        <v>1334626</v>
      </c>
      <c r="AC130" s="593">
        <f>IF(Z130=0,"0",IF(Z130&gt;0,Y130-Z130,))</f>
        <v>1334626</v>
      </c>
      <c r="AD130" s="593">
        <f>+R130+R132-Y130+AB130</f>
        <v>1334626</v>
      </c>
      <c r="AG130" s="273"/>
      <c r="AH130" s="273"/>
    </row>
    <row r="131" spans="2:34" ht="18.2" customHeight="1" x14ac:dyDescent="0.2">
      <c r="B131" s="11" t="s">
        <v>7</v>
      </c>
      <c r="C131" s="4" t="s">
        <v>20</v>
      </c>
      <c r="D131" s="4" t="s">
        <v>20</v>
      </c>
      <c r="E131" s="4" t="s">
        <v>20</v>
      </c>
      <c r="F131" s="4" t="s">
        <v>15</v>
      </c>
      <c r="G131" s="4" t="s">
        <v>9</v>
      </c>
      <c r="H131" s="4" t="s">
        <v>23</v>
      </c>
      <c r="I131" s="4" t="s">
        <v>34</v>
      </c>
      <c r="J131" s="197" t="s">
        <v>29</v>
      </c>
      <c r="K131" s="11"/>
      <c r="L131" s="6" t="s">
        <v>90</v>
      </c>
      <c r="M131" s="6"/>
      <c r="N131" s="133"/>
      <c r="O131" s="156"/>
      <c r="P131" s="156"/>
      <c r="Q131" s="125">
        <v>2000000</v>
      </c>
      <c r="R131" s="5">
        <f>SUM(R132:R132)</f>
        <v>2000000</v>
      </c>
      <c r="S131" s="181"/>
      <c r="T131" s="9"/>
      <c r="U131" s="245"/>
      <c r="V131" s="600"/>
      <c r="W131" s="603"/>
      <c r="X131" s="606"/>
      <c r="Y131" s="606"/>
      <c r="Z131" s="594"/>
      <c r="AA131" s="594"/>
      <c r="AB131" s="594"/>
      <c r="AC131" s="594"/>
      <c r="AD131" s="594"/>
      <c r="AG131" s="273"/>
      <c r="AH131" s="273"/>
    </row>
    <row r="132" spans="2:34" ht="35.25" customHeight="1" x14ac:dyDescent="0.2">
      <c r="B132" s="623"/>
      <c r="C132" s="624"/>
      <c r="D132" s="624"/>
      <c r="E132" s="624"/>
      <c r="F132" s="624"/>
      <c r="G132" s="624"/>
      <c r="H132" s="624"/>
      <c r="I132" s="624"/>
      <c r="J132" s="624"/>
      <c r="K132" s="99">
        <v>84131500</v>
      </c>
      <c r="L132" s="100" t="s">
        <v>90</v>
      </c>
      <c r="M132" s="134">
        <v>44136</v>
      </c>
      <c r="N132" s="134">
        <v>44105</v>
      </c>
      <c r="O132" s="157" t="s">
        <v>301</v>
      </c>
      <c r="P132" s="157" t="s">
        <v>384</v>
      </c>
      <c r="Q132" s="125"/>
      <c r="R132" s="101">
        <v>2000000</v>
      </c>
      <c r="S132" s="182"/>
      <c r="T132" s="102"/>
      <c r="U132" s="257" t="s">
        <v>270</v>
      </c>
      <c r="V132" s="601"/>
      <c r="W132" s="604"/>
      <c r="X132" s="607"/>
      <c r="Y132" s="607"/>
      <c r="Z132" s="595"/>
      <c r="AA132" s="595"/>
      <c r="AB132" s="595"/>
      <c r="AC132" s="595"/>
      <c r="AD132" s="595"/>
      <c r="AG132" s="273"/>
      <c r="AH132" s="273"/>
    </row>
    <row r="133" spans="2:34" ht="15" customHeight="1" x14ac:dyDescent="0.2">
      <c r="B133" s="13" t="s">
        <v>7</v>
      </c>
      <c r="C133" s="14" t="s">
        <v>20</v>
      </c>
      <c r="D133" s="14" t="s">
        <v>20</v>
      </c>
      <c r="E133" s="14" t="s">
        <v>20</v>
      </c>
      <c r="F133" s="14" t="s">
        <v>16</v>
      </c>
      <c r="G133" s="14"/>
      <c r="H133" s="14"/>
      <c r="I133" s="14"/>
      <c r="J133" s="195"/>
      <c r="K133" s="13"/>
      <c r="L133" s="15" t="s">
        <v>91</v>
      </c>
      <c r="M133" s="15"/>
      <c r="N133" s="131"/>
      <c r="O133" s="154"/>
      <c r="P133" s="154"/>
      <c r="Q133" s="125">
        <f>+Q134+Q141+Q170+Q178</f>
        <v>1178100000</v>
      </c>
      <c r="R133" s="16">
        <f>+R134+R141+R170+R178</f>
        <v>1345713000</v>
      </c>
      <c r="S133" s="14"/>
      <c r="T133" s="17"/>
      <c r="U133" s="252"/>
      <c r="V133" s="299"/>
      <c r="W133" s="329"/>
      <c r="X133" s="16"/>
      <c r="Y133" s="16"/>
      <c r="Z133" s="353"/>
      <c r="AA133" s="353"/>
      <c r="AB133" s="353"/>
      <c r="AC133" s="353"/>
      <c r="AD133" s="353"/>
      <c r="AG133" s="273"/>
      <c r="AH133" s="273"/>
    </row>
    <row r="134" spans="2:34" ht="15" customHeight="1" x14ac:dyDescent="0.2">
      <c r="B134" s="91" t="s">
        <v>7</v>
      </c>
      <c r="C134" s="92" t="s">
        <v>20</v>
      </c>
      <c r="D134" s="92" t="s">
        <v>20</v>
      </c>
      <c r="E134" s="92" t="s">
        <v>20</v>
      </c>
      <c r="F134" s="92" t="s">
        <v>16</v>
      </c>
      <c r="G134" s="92" t="s">
        <v>10</v>
      </c>
      <c r="H134" s="92"/>
      <c r="I134" s="92"/>
      <c r="J134" s="196"/>
      <c r="K134" s="91"/>
      <c r="L134" s="93" t="s">
        <v>92</v>
      </c>
      <c r="M134" s="93"/>
      <c r="N134" s="132"/>
      <c r="O134" s="155"/>
      <c r="P134" s="155"/>
      <c r="Q134" s="125">
        <f>+Q135+Q138</f>
        <v>121200000</v>
      </c>
      <c r="R134" s="94">
        <f>+R135+R138</f>
        <v>276800000</v>
      </c>
      <c r="S134" s="92"/>
      <c r="T134" s="95"/>
      <c r="U134" s="244"/>
      <c r="V134" s="300"/>
      <c r="W134" s="330"/>
      <c r="X134" s="94"/>
      <c r="Y134" s="94"/>
      <c r="Z134" s="354"/>
      <c r="AA134" s="354"/>
      <c r="AB134" s="354"/>
      <c r="AC134" s="354"/>
      <c r="AD134" s="354"/>
      <c r="AG134" s="273"/>
      <c r="AH134" s="273"/>
    </row>
    <row r="135" spans="2:34" ht="15" customHeight="1" x14ac:dyDescent="0.2">
      <c r="B135" s="11" t="s">
        <v>7</v>
      </c>
      <c r="C135" s="4" t="s">
        <v>20</v>
      </c>
      <c r="D135" s="4" t="s">
        <v>20</v>
      </c>
      <c r="E135" s="4" t="s">
        <v>20</v>
      </c>
      <c r="F135" s="4" t="s">
        <v>16</v>
      </c>
      <c r="G135" s="4" t="s">
        <v>10</v>
      </c>
      <c r="H135" s="4" t="s">
        <v>8</v>
      </c>
      <c r="I135" s="4"/>
      <c r="J135" s="197"/>
      <c r="K135" s="11"/>
      <c r="L135" s="6" t="s">
        <v>93</v>
      </c>
      <c r="M135" s="6"/>
      <c r="N135" s="133"/>
      <c r="O135" s="156"/>
      <c r="P135" s="156"/>
      <c r="Q135" s="125">
        <f>162000000-52800000</f>
        <v>109200000</v>
      </c>
      <c r="R135" s="5">
        <f>SUM(R136:R137)</f>
        <v>96800000</v>
      </c>
      <c r="S135" s="181"/>
      <c r="T135" s="9"/>
      <c r="U135" s="245"/>
      <c r="V135" s="301"/>
      <c r="W135" s="331"/>
      <c r="X135" s="5"/>
      <c r="Y135" s="5"/>
      <c r="Z135" s="355"/>
      <c r="AA135" s="355"/>
      <c r="AB135" s="355"/>
      <c r="AC135" s="355"/>
      <c r="AD135" s="355"/>
      <c r="AG135" s="273"/>
      <c r="AH135" s="273"/>
    </row>
    <row r="136" spans="2:34" ht="75" customHeight="1" x14ac:dyDescent="0.2">
      <c r="B136" s="623"/>
      <c r="C136" s="624"/>
      <c r="D136" s="624"/>
      <c r="E136" s="624"/>
      <c r="F136" s="624"/>
      <c r="G136" s="624"/>
      <c r="H136" s="624"/>
      <c r="I136" s="624"/>
      <c r="J136" s="624"/>
      <c r="K136" s="99">
        <v>80121600</v>
      </c>
      <c r="L136" s="100" t="s">
        <v>252</v>
      </c>
      <c r="M136" s="134">
        <v>43834</v>
      </c>
      <c r="N136" s="134">
        <v>43840</v>
      </c>
      <c r="O136" s="157" t="s">
        <v>324</v>
      </c>
      <c r="P136" s="157" t="s">
        <v>374</v>
      </c>
      <c r="Q136" s="125"/>
      <c r="R136" s="101">
        <v>50600000</v>
      </c>
      <c r="S136" s="182" t="s">
        <v>386</v>
      </c>
      <c r="T136" s="102"/>
      <c r="U136" s="253" t="s">
        <v>253</v>
      </c>
      <c r="V136" s="302">
        <v>2020</v>
      </c>
      <c r="W136" s="332">
        <v>43833</v>
      </c>
      <c r="X136" s="174">
        <v>50600000</v>
      </c>
      <c r="Y136" s="174">
        <v>50600000</v>
      </c>
      <c r="Z136" s="352">
        <v>50600000</v>
      </c>
      <c r="AA136" s="352">
        <f>+R136-Y136</f>
        <v>0</v>
      </c>
      <c r="AB136" s="352">
        <f>+Z136-AA136</f>
        <v>50600000</v>
      </c>
      <c r="AC136" s="352">
        <f>IF(Z136=0,"0",IF(Z136&gt;0,Y136-Z136,))</f>
        <v>0</v>
      </c>
      <c r="AD136" s="352">
        <f>+R136-Y136+AB136</f>
        <v>50600000</v>
      </c>
      <c r="AG136" s="273"/>
      <c r="AH136" s="273"/>
    </row>
    <row r="137" spans="2:34" ht="60" customHeight="1" x14ac:dyDescent="0.2">
      <c r="B137" s="625"/>
      <c r="C137" s="626"/>
      <c r="D137" s="626"/>
      <c r="E137" s="626"/>
      <c r="F137" s="626"/>
      <c r="G137" s="626"/>
      <c r="H137" s="626"/>
      <c r="I137" s="626"/>
      <c r="J137" s="626"/>
      <c r="K137" s="99">
        <v>80121600</v>
      </c>
      <c r="L137" s="100" t="s">
        <v>411</v>
      </c>
      <c r="M137" s="134">
        <v>43834</v>
      </c>
      <c r="N137" s="134">
        <v>43840</v>
      </c>
      <c r="O137" s="157" t="s">
        <v>324</v>
      </c>
      <c r="P137" s="157" t="s">
        <v>374</v>
      </c>
      <c r="Q137" s="125"/>
      <c r="R137" s="101">
        <v>46200000</v>
      </c>
      <c r="S137" s="182" t="s">
        <v>386</v>
      </c>
      <c r="T137" s="102"/>
      <c r="U137" s="253" t="s">
        <v>253</v>
      </c>
      <c r="V137" s="302">
        <v>1920</v>
      </c>
      <c r="W137" s="332">
        <v>43833</v>
      </c>
      <c r="X137" s="174">
        <v>46200000</v>
      </c>
      <c r="Y137" s="174">
        <v>46200000</v>
      </c>
      <c r="Z137" s="352">
        <v>46200000</v>
      </c>
      <c r="AA137" s="352">
        <f>+R137-Y137</f>
        <v>0</v>
      </c>
      <c r="AB137" s="352">
        <f>+Z137-AA137</f>
        <v>46200000</v>
      </c>
      <c r="AC137" s="352">
        <f>IF(Z137=0,"0",IF(Z137&gt;0,Y137-Z137,))</f>
        <v>0</v>
      </c>
      <c r="AD137" s="352">
        <f>+R137+-Y137+AB137</f>
        <v>46200000</v>
      </c>
      <c r="AG137" s="273"/>
      <c r="AH137" s="273"/>
    </row>
    <row r="138" spans="2:34" ht="15" customHeight="1" x14ac:dyDescent="0.2">
      <c r="B138" s="11" t="s">
        <v>7</v>
      </c>
      <c r="C138" s="4" t="s">
        <v>20</v>
      </c>
      <c r="D138" s="4" t="s">
        <v>20</v>
      </c>
      <c r="E138" s="4" t="s">
        <v>20</v>
      </c>
      <c r="F138" s="4" t="s">
        <v>16</v>
      </c>
      <c r="G138" s="4" t="s">
        <v>10</v>
      </c>
      <c r="H138" s="4" t="s">
        <v>20</v>
      </c>
      <c r="I138" s="4"/>
      <c r="J138" s="197"/>
      <c r="K138" s="11"/>
      <c r="L138" s="6" t="s">
        <v>94</v>
      </c>
      <c r="M138" s="6"/>
      <c r="N138" s="133"/>
      <c r="O138" s="156"/>
      <c r="P138" s="156"/>
      <c r="Q138" s="125">
        <v>12000000</v>
      </c>
      <c r="R138" s="5">
        <f>SUM(R139:R140)</f>
        <v>180000000</v>
      </c>
      <c r="S138" s="181"/>
      <c r="T138" s="9"/>
      <c r="U138" s="245"/>
      <c r="V138" s="301"/>
      <c r="W138" s="331"/>
      <c r="X138" s="5"/>
      <c r="Y138" s="5"/>
      <c r="Z138" s="355"/>
      <c r="AA138" s="355"/>
      <c r="AB138" s="355"/>
      <c r="AC138" s="355"/>
      <c r="AD138" s="355"/>
      <c r="AG138" s="273"/>
      <c r="AH138" s="273"/>
    </row>
    <row r="139" spans="2:34" ht="30" customHeight="1" x14ac:dyDescent="0.2">
      <c r="B139" s="623"/>
      <c r="C139" s="624"/>
      <c r="D139" s="624"/>
      <c r="E139" s="624"/>
      <c r="F139" s="624"/>
      <c r="G139" s="624"/>
      <c r="H139" s="624"/>
      <c r="I139" s="624"/>
      <c r="J139" s="624"/>
      <c r="K139" s="99">
        <v>80101500</v>
      </c>
      <c r="L139" s="178" t="s">
        <v>255</v>
      </c>
      <c r="M139" s="134">
        <v>43871</v>
      </c>
      <c r="N139" s="134">
        <v>43892</v>
      </c>
      <c r="O139" s="157" t="s">
        <v>392</v>
      </c>
      <c r="P139" s="157" t="s">
        <v>338</v>
      </c>
      <c r="Q139" s="125"/>
      <c r="R139" s="101">
        <v>168000000</v>
      </c>
      <c r="S139" s="182" t="s">
        <v>322</v>
      </c>
      <c r="T139" s="101">
        <v>519000000</v>
      </c>
      <c r="U139" s="253" t="s">
        <v>276</v>
      </c>
      <c r="V139" s="302"/>
      <c r="W139" s="332"/>
      <c r="X139" s="174"/>
      <c r="Y139" s="174"/>
      <c r="Z139" s="352"/>
      <c r="AA139" s="352">
        <f>+R139-Y139</f>
        <v>168000000</v>
      </c>
      <c r="AB139" s="352">
        <f>+Z139-AA139</f>
        <v>-168000000</v>
      </c>
      <c r="AC139" s="352" t="str">
        <f>IF(Z139=0,"0",IF(Z139&gt;0,Y139-Z139,))</f>
        <v>0</v>
      </c>
      <c r="AD139" s="352">
        <f>+R139+-Y139+AB139</f>
        <v>0</v>
      </c>
      <c r="AG139" s="273"/>
      <c r="AH139" s="273"/>
    </row>
    <row r="140" spans="2:34" ht="15" customHeight="1" x14ac:dyDescent="0.2">
      <c r="B140" s="625"/>
      <c r="C140" s="626"/>
      <c r="D140" s="626"/>
      <c r="E140" s="626"/>
      <c r="F140" s="626"/>
      <c r="G140" s="626"/>
      <c r="H140" s="626"/>
      <c r="I140" s="626"/>
      <c r="J140" s="626"/>
      <c r="K140" s="99">
        <v>80101500</v>
      </c>
      <c r="L140" s="100" t="s">
        <v>260</v>
      </c>
      <c r="M140" s="134">
        <v>44015</v>
      </c>
      <c r="N140" s="134">
        <v>44046</v>
      </c>
      <c r="O140" s="157" t="s">
        <v>331</v>
      </c>
      <c r="P140" s="157" t="s">
        <v>318</v>
      </c>
      <c r="Q140" s="125"/>
      <c r="R140" s="101">
        <v>12000000</v>
      </c>
      <c r="S140" s="182" t="s">
        <v>386</v>
      </c>
      <c r="T140" s="102"/>
      <c r="U140" s="253" t="s">
        <v>269</v>
      </c>
      <c r="V140" s="302"/>
      <c r="W140" s="332"/>
      <c r="X140" s="174"/>
      <c r="Y140" s="174"/>
      <c r="Z140" s="352"/>
      <c r="AA140" s="352">
        <f>+R140-Y140</f>
        <v>12000000</v>
      </c>
      <c r="AB140" s="352">
        <f>+Z140-AA140</f>
        <v>-12000000</v>
      </c>
      <c r="AC140" s="352" t="str">
        <f>IF(Z140=0,"0",IF(Z140&gt;0,Y140-Z140,))</f>
        <v>0</v>
      </c>
      <c r="AD140" s="352">
        <f>+R140+-Y140+AB140</f>
        <v>0</v>
      </c>
      <c r="AG140" s="273"/>
      <c r="AH140" s="273"/>
    </row>
    <row r="141" spans="2:34" ht="15" customHeight="1" x14ac:dyDescent="0.2">
      <c r="B141" s="91" t="s">
        <v>7</v>
      </c>
      <c r="C141" s="92" t="s">
        <v>20</v>
      </c>
      <c r="D141" s="92" t="s">
        <v>20</v>
      </c>
      <c r="E141" s="92" t="s">
        <v>20</v>
      </c>
      <c r="F141" s="92" t="s">
        <v>16</v>
      </c>
      <c r="G141" s="92" t="s">
        <v>11</v>
      </c>
      <c r="H141" s="92"/>
      <c r="I141" s="92"/>
      <c r="J141" s="196"/>
      <c r="K141" s="91"/>
      <c r="L141" s="93" t="s">
        <v>95</v>
      </c>
      <c r="M141" s="93"/>
      <c r="N141" s="132"/>
      <c r="O141" s="155"/>
      <c r="P141" s="155"/>
      <c r="Q141" s="125">
        <f>+Q142</f>
        <v>732000000</v>
      </c>
      <c r="R141" s="94">
        <f>+R142</f>
        <v>829813000</v>
      </c>
      <c r="S141" s="92"/>
      <c r="T141" s="95"/>
      <c r="U141" s="244"/>
      <c r="V141" s="300"/>
      <c r="W141" s="330"/>
      <c r="X141" s="94"/>
      <c r="Y141" s="94"/>
      <c r="Z141" s="354"/>
      <c r="AA141" s="354"/>
      <c r="AB141" s="354"/>
      <c r="AC141" s="354"/>
      <c r="AD141" s="354"/>
      <c r="AG141" s="273"/>
      <c r="AH141" s="273"/>
    </row>
    <row r="142" spans="2:34" ht="30" customHeight="1" x14ac:dyDescent="0.2">
      <c r="B142" s="11" t="s">
        <v>7</v>
      </c>
      <c r="C142" s="4" t="s">
        <v>20</v>
      </c>
      <c r="D142" s="4" t="s">
        <v>20</v>
      </c>
      <c r="E142" s="4" t="s">
        <v>20</v>
      </c>
      <c r="F142" s="4" t="s">
        <v>16</v>
      </c>
      <c r="G142" s="4" t="s">
        <v>11</v>
      </c>
      <c r="H142" s="4" t="s">
        <v>8</v>
      </c>
      <c r="I142" s="4"/>
      <c r="J142" s="197"/>
      <c r="K142" s="11"/>
      <c r="L142" s="6" t="s">
        <v>122</v>
      </c>
      <c r="M142" s="6"/>
      <c r="N142" s="133"/>
      <c r="O142" s="156"/>
      <c r="P142" s="156"/>
      <c r="Q142" s="125">
        <f>+Q143+Q152+Q154+Q166+Q168</f>
        <v>732000000</v>
      </c>
      <c r="R142" s="5">
        <f>+R143+R152+R154+R166+R168</f>
        <v>829813000</v>
      </c>
      <c r="S142" s="181"/>
      <c r="T142" s="9"/>
      <c r="U142" s="245"/>
      <c r="V142" s="301"/>
      <c r="W142" s="331"/>
      <c r="X142" s="5"/>
      <c r="Y142" s="5"/>
      <c r="Z142" s="355"/>
      <c r="AA142" s="355"/>
      <c r="AB142" s="355"/>
      <c r="AC142" s="355"/>
      <c r="AD142" s="355"/>
      <c r="AG142" s="273"/>
      <c r="AH142" s="273"/>
    </row>
    <row r="143" spans="2:34" ht="16.899999999999999" customHeight="1" x14ac:dyDescent="0.2">
      <c r="B143" s="11" t="s">
        <v>7</v>
      </c>
      <c r="C143" s="4" t="s">
        <v>20</v>
      </c>
      <c r="D143" s="4" t="s">
        <v>20</v>
      </c>
      <c r="E143" s="4" t="s">
        <v>20</v>
      </c>
      <c r="F143" s="4" t="s">
        <v>16</v>
      </c>
      <c r="G143" s="4" t="s">
        <v>11</v>
      </c>
      <c r="H143" s="4" t="s">
        <v>8</v>
      </c>
      <c r="I143" s="4" t="s">
        <v>21</v>
      </c>
      <c r="J143" s="198"/>
      <c r="K143" s="12"/>
      <c r="L143" s="6" t="s">
        <v>96</v>
      </c>
      <c r="M143" s="6"/>
      <c r="N143" s="133"/>
      <c r="O143" s="156"/>
      <c r="P143" s="159"/>
      <c r="Q143" s="125">
        <f>52800000+49000000+54000000+167500000+52800000</f>
        <v>376100000</v>
      </c>
      <c r="R143" s="5">
        <f>SUM(R144:R151)</f>
        <v>308260000</v>
      </c>
      <c r="S143" s="181"/>
      <c r="T143" s="9"/>
      <c r="U143" s="245"/>
      <c r="V143" s="301"/>
      <c r="W143" s="331"/>
      <c r="X143" s="5"/>
      <c r="Y143" s="5"/>
      <c r="Z143" s="355"/>
      <c r="AA143" s="355"/>
      <c r="AB143" s="355"/>
      <c r="AC143" s="355"/>
      <c r="AD143" s="355"/>
      <c r="AG143" s="273"/>
      <c r="AH143" s="273"/>
    </row>
    <row r="144" spans="2:34" ht="45.2" customHeight="1" x14ac:dyDescent="0.2">
      <c r="B144" s="623"/>
      <c r="C144" s="624"/>
      <c r="D144" s="624"/>
      <c r="E144" s="624"/>
      <c r="F144" s="624"/>
      <c r="G144" s="624"/>
      <c r="H144" s="624"/>
      <c r="I144" s="624"/>
      <c r="J144" s="624"/>
      <c r="K144" s="99">
        <v>80101500</v>
      </c>
      <c r="L144" s="100" t="s">
        <v>256</v>
      </c>
      <c r="M144" s="134">
        <v>43834</v>
      </c>
      <c r="N144" s="134">
        <v>43840</v>
      </c>
      <c r="O144" s="157" t="s">
        <v>305</v>
      </c>
      <c r="P144" s="157" t="s">
        <v>374</v>
      </c>
      <c r="Q144" s="125"/>
      <c r="R144" s="101">
        <v>55000000</v>
      </c>
      <c r="S144" s="182" t="s">
        <v>386</v>
      </c>
      <c r="T144" s="102"/>
      <c r="U144" s="253" t="s">
        <v>254</v>
      </c>
      <c r="V144" s="302">
        <v>120</v>
      </c>
      <c r="W144" s="332">
        <v>43833</v>
      </c>
      <c r="X144" s="174">
        <v>55000000</v>
      </c>
      <c r="Y144" s="174">
        <v>55000000</v>
      </c>
      <c r="Z144" s="352">
        <v>55000000</v>
      </c>
      <c r="AA144" s="352">
        <f t="shared" ref="AA144:AA151" si="2">+R144-Y144</f>
        <v>0</v>
      </c>
      <c r="AB144" s="352">
        <f t="shared" ref="AB144:AB151" si="3">+Z144-AA144</f>
        <v>55000000</v>
      </c>
      <c r="AC144" s="352">
        <f t="shared" ref="AC144:AC151" si="4">IF(Z144=0,"0",IF(Z144&gt;0,Y144-Z144,))</f>
        <v>0</v>
      </c>
      <c r="AD144" s="352">
        <f t="shared" ref="AD144:AD151" si="5">+R144+-Y144+AB144</f>
        <v>55000000</v>
      </c>
      <c r="AG144" s="273"/>
      <c r="AH144" s="273"/>
    </row>
    <row r="145" spans="2:34" ht="45.2" customHeight="1" x14ac:dyDescent="0.2">
      <c r="B145" s="625"/>
      <c r="C145" s="626"/>
      <c r="D145" s="626"/>
      <c r="E145" s="626"/>
      <c r="F145" s="626"/>
      <c r="G145" s="626"/>
      <c r="H145" s="626"/>
      <c r="I145" s="626"/>
      <c r="J145" s="626"/>
      <c r="K145" s="99">
        <v>80101500</v>
      </c>
      <c r="L145" s="100" t="s">
        <v>256</v>
      </c>
      <c r="M145" s="134">
        <v>43834</v>
      </c>
      <c r="N145" s="134">
        <v>43840</v>
      </c>
      <c r="O145" s="157" t="s">
        <v>305</v>
      </c>
      <c r="P145" s="157" t="s">
        <v>374</v>
      </c>
      <c r="Q145" s="125"/>
      <c r="R145" s="101">
        <v>0</v>
      </c>
      <c r="S145" s="182" t="s">
        <v>386</v>
      </c>
      <c r="T145" s="102"/>
      <c r="U145" s="253" t="s">
        <v>254</v>
      </c>
      <c r="V145" s="302"/>
      <c r="W145" s="332"/>
      <c r="X145" s="174"/>
      <c r="Y145" s="174"/>
      <c r="Z145" s="352"/>
      <c r="AA145" s="352">
        <f t="shared" si="2"/>
        <v>0</v>
      </c>
      <c r="AB145" s="352">
        <f t="shared" si="3"/>
        <v>0</v>
      </c>
      <c r="AC145" s="352" t="str">
        <f t="shared" si="4"/>
        <v>0</v>
      </c>
      <c r="AD145" s="352">
        <f t="shared" si="5"/>
        <v>0</v>
      </c>
      <c r="AG145" s="273"/>
      <c r="AH145" s="273"/>
    </row>
    <row r="146" spans="2:34" ht="45.2" customHeight="1" x14ac:dyDescent="0.2">
      <c r="B146" s="625"/>
      <c r="C146" s="626"/>
      <c r="D146" s="626"/>
      <c r="E146" s="626"/>
      <c r="F146" s="626"/>
      <c r="G146" s="626"/>
      <c r="H146" s="626"/>
      <c r="I146" s="626"/>
      <c r="J146" s="626"/>
      <c r="K146" s="99">
        <v>80101500</v>
      </c>
      <c r="L146" s="100" t="s">
        <v>258</v>
      </c>
      <c r="M146" s="134">
        <v>43834</v>
      </c>
      <c r="N146" s="134">
        <v>43840</v>
      </c>
      <c r="O146" s="157" t="s">
        <v>305</v>
      </c>
      <c r="P146" s="157" t="s">
        <v>374</v>
      </c>
      <c r="Q146" s="125"/>
      <c r="R146" s="101">
        <v>46200000</v>
      </c>
      <c r="S146" s="182" t="s">
        <v>386</v>
      </c>
      <c r="T146" s="102"/>
      <c r="U146" s="253" t="s">
        <v>254</v>
      </c>
      <c r="V146" s="302">
        <v>220</v>
      </c>
      <c r="W146" s="332">
        <v>43833</v>
      </c>
      <c r="X146" s="174">
        <v>46200000</v>
      </c>
      <c r="Y146" s="174">
        <v>46200000</v>
      </c>
      <c r="Z146" s="352">
        <v>46200000</v>
      </c>
      <c r="AA146" s="352">
        <f t="shared" si="2"/>
        <v>0</v>
      </c>
      <c r="AB146" s="352">
        <f t="shared" si="3"/>
        <v>46200000</v>
      </c>
      <c r="AC146" s="352">
        <f t="shared" si="4"/>
        <v>0</v>
      </c>
      <c r="AD146" s="352">
        <f>+R146-Y146+AB146</f>
        <v>46200000</v>
      </c>
      <c r="AG146" s="273"/>
      <c r="AH146" s="273"/>
    </row>
    <row r="147" spans="2:34" ht="45.2" customHeight="1" x14ac:dyDescent="0.2">
      <c r="B147" s="625"/>
      <c r="C147" s="626"/>
      <c r="D147" s="626"/>
      <c r="E147" s="626"/>
      <c r="F147" s="626"/>
      <c r="G147" s="626"/>
      <c r="H147" s="626"/>
      <c r="I147" s="626"/>
      <c r="J147" s="626"/>
      <c r="K147" s="99">
        <v>80101500</v>
      </c>
      <c r="L147" s="100" t="s">
        <v>193</v>
      </c>
      <c r="M147" s="134">
        <v>43834</v>
      </c>
      <c r="N147" s="134">
        <v>43840</v>
      </c>
      <c r="O147" s="157" t="s">
        <v>305</v>
      </c>
      <c r="P147" s="157" t="s">
        <v>374</v>
      </c>
      <c r="Q147" s="125"/>
      <c r="R147" s="101">
        <v>50600000</v>
      </c>
      <c r="S147" s="182" t="s">
        <v>386</v>
      </c>
      <c r="T147" s="102"/>
      <c r="U147" s="253" t="s">
        <v>194</v>
      </c>
      <c r="V147" s="302">
        <v>2120</v>
      </c>
      <c r="W147" s="332">
        <v>43838</v>
      </c>
      <c r="X147" s="174">
        <v>50600000</v>
      </c>
      <c r="Y147" s="174">
        <v>50600000</v>
      </c>
      <c r="Z147" s="352">
        <v>50600000</v>
      </c>
      <c r="AA147" s="352">
        <f t="shared" si="2"/>
        <v>0</v>
      </c>
      <c r="AB147" s="352">
        <f t="shared" si="3"/>
        <v>50600000</v>
      </c>
      <c r="AC147" s="352">
        <f t="shared" si="4"/>
        <v>0</v>
      </c>
      <c r="AD147" s="352">
        <f t="shared" si="5"/>
        <v>50600000</v>
      </c>
      <c r="AG147" s="273"/>
      <c r="AH147" s="273"/>
    </row>
    <row r="148" spans="2:34" ht="45.2" customHeight="1" x14ac:dyDescent="0.2">
      <c r="B148" s="625"/>
      <c r="C148" s="626"/>
      <c r="D148" s="626"/>
      <c r="E148" s="626"/>
      <c r="F148" s="626"/>
      <c r="G148" s="626"/>
      <c r="H148" s="626"/>
      <c r="I148" s="626"/>
      <c r="J148" s="626"/>
      <c r="K148" s="99">
        <v>80101500</v>
      </c>
      <c r="L148" s="100" t="s">
        <v>423</v>
      </c>
      <c r="M148" s="134">
        <v>43834</v>
      </c>
      <c r="N148" s="134">
        <v>43840</v>
      </c>
      <c r="O148" s="157" t="s">
        <v>305</v>
      </c>
      <c r="P148" s="157" t="s">
        <v>374</v>
      </c>
      <c r="Q148" s="125"/>
      <c r="R148" s="101">
        <v>50600000</v>
      </c>
      <c r="S148" s="182" t="s">
        <v>386</v>
      </c>
      <c r="T148" s="102"/>
      <c r="U148" s="253" t="s">
        <v>269</v>
      </c>
      <c r="V148" s="302">
        <v>10120</v>
      </c>
      <c r="W148" s="332">
        <v>43860</v>
      </c>
      <c r="X148" s="174">
        <v>20900000</v>
      </c>
      <c r="Y148" s="174">
        <v>20900000</v>
      </c>
      <c r="Z148" s="352">
        <v>20900000</v>
      </c>
      <c r="AA148" s="352">
        <f t="shared" si="2"/>
        <v>29700000</v>
      </c>
      <c r="AB148" s="352">
        <f t="shared" si="3"/>
        <v>-8800000</v>
      </c>
      <c r="AC148" s="352">
        <f t="shared" si="4"/>
        <v>0</v>
      </c>
      <c r="AD148" s="352">
        <f t="shared" si="5"/>
        <v>20900000</v>
      </c>
      <c r="AG148" s="273"/>
      <c r="AH148" s="273"/>
    </row>
    <row r="149" spans="2:34" ht="30" customHeight="1" x14ac:dyDescent="0.2">
      <c r="B149" s="625"/>
      <c r="C149" s="626"/>
      <c r="D149" s="626"/>
      <c r="E149" s="626"/>
      <c r="F149" s="626"/>
      <c r="G149" s="626"/>
      <c r="H149" s="626"/>
      <c r="I149" s="626"/>
      <c r="J149" s="626"/>
      <c r="K149" s="99">
        <v>81111800</v>
      </c>
      <c r="L149" s="178" t="s">
        <v>175</v>
      </c>
      <c r="M149" s="134">
        <v>43500</v>
      </c>
      <c r="N149" s="134">
        <v>43891</v>
      </c>
      <c r="O149" s="157" t="s">
        <v>307</v>
      </c>
      <c r="P149" s="157" t="s">
        <v>374</v>
      </c>
      <c r="Q149" s="125"/>
      <c r="R149" s="101">
        <v>24960000</v>
      </c>
      <c r="S149" s="182" t="s">
        <v>386</v>
      </c>
      <c r="T149" s="102"/>
      <c r="U149" s="253" t="s">
        <v>181</v>
      </c>
      <c r="V149" s="302">
        <v>15920</v>
      </c>
      <c r="W149" s="332">
        <v>43887</v>
      </c>
      <c r="X149" s="174">
        <v>24960000</v>
      </c>
      <c r="Y149" s="174">
        <v>24960000</v>
      </c>
      <c r="Z149" s="352">
        <v>18312315</v>
      </c>
      <c r="AA149" s="352">
        <f t="shared" si="2"/>
        <v>0</v>
      </c>
      <c r="AB149" s="352">
        <f t="shared" si="3"/>
        <v>18312315</v>
      </c>
      <c r="AC149" s="352">
        <f t="shared" si="4"/>
        <v>6647685</v>
      </c>
      <c r="AD149" s="352">
        <f t="shared" si="5"/>
        <v>18312315</v>
      </c>
      <c r="AG149" s="273"/>
      <c r="AH149" s="273"/>
    </row>
    <row r="150" spans="2:34" ht="45" customHeight="1" x14ac:dyDescent="0.2">
      <c r="B150" s="625"/>
      <c r="C150" s="626"/>
      <c r="D150" s="626"/>
      <c r="E150" s="626"/>
      <c r="F150" s="626"/>
      <c r="G150" s="626"/>
      <c r="H150" s="626"/>
      <c r="I150" s="626"/>
      <c r="J150" s="626"/>
      <c r="K150" s="177" t="s">
        <v>304</v>
      </c>
      <c r="L150" s="100" t="s">
        <v>303</v>
      </c>
      <c r="M150" s="134">
        <v>43936</v>
      </c>
      <c r="N150" s="134">
        <v>43966</v>
      </c>
      <c r="O150" s="157" t="s">
        <v>399</v>
      </c>
      <c r="P150" s="157" t="s">
        <v>319</v>
      </c>
      <c r="Q150" s="125"/>
      <c r="R150" s="101">
        <v>60000000</v>
      </c>
      <c r="S150" s="182" t="s">
        <v>386</v>
      </c>
      <c r="T150" s="102"/>
      <c r="U150" s="253" t="s">
        <v>291</v>
      </c>
      <c r="V150" s="302"/>
      <c r="W150" s="332"/>
      <c r="X150" s="174"/>
      <c r="Y150" s="174"/>
      <c r="Z150" s="352"/>
      <c r="AA150" s="352">
        <f t="shared" si="2"/>
        <v>60000000</v>
      </c>
      <c r="AB150" s="352">
        <f t="shared" si="3"/>
        <v>-60000000</v>
      </c>
      <c r="AC150" s="352" t="str">
        <f t="shared" si="4"/>
        <v>0</v>
      </c>
      <c r="AD150" s="352">
        <f t="shared" si="5"/>
        <v>0</v>
      </c>
      <c r="AG150" s="273"/>
      <c r="AH150" s="273"/>
    </row>
    <row r="151" spans="2:34" ht="30" customHeight="1" x14ac:dyDescent="0.2">
      <c r="B151" s="625"/>
      <c r="C151" s="626"/>
      <c r="D151" s="626"/>
      <c r="E151" s="626"/>
      <c r="F151" s="626"/>
      <c r="G151" s="626"/>
      <c r="H151" s="626"/>
      <c r="I151" s="626"/>
      <c r="J151" s="626"/>
      <c r="K151" s="99">
        <v>80101500</v>
      </c>
      <c r="L151" s="100" t="s">
        <v>257</v>
      </c>
      <c r="M151" s="134">
        <v>43834</v>
      </c>
      <c r="N151" s="134">
        <v>43840</v>
      </c>
      <c r="O151" s="157" t="s">
        <v>305</v>
      </c>
      <c r="P151" s="157" t="s">
        <v>374</v>
      </c>
      <c r="Q151" s="125"/>
      <c r="R151" s="101">
        <v>20900000</v>
      </c>
      <c r="S151" s="182" t="s">
        <v>386</v>
      </c>
      <c r="T151" s="102"/>
      <c r="U151" s="253" t="s">
        <v>274</v>
      </c>
      <c r="V151" s="302">
        <v>1820</v>
      </c>
      <c r="W151" s="332">
        <v>43833</v>
      </c>
      <c r="X151" s="174">
        <v>20900000</v>
      </c>
      <c r="Y151" s="174">
        <v>20900000</v>
      </c>
      <c r="Z151" s="352">
        <v>20900000</v>
      </c>
      <c r="AA151" s="352">
        <f t="shared" si="2"/>
        <v>0</v>
      </c>
      <c r="AB151" s="352">
        <f t="shared" si="3"/>
        <v>20900000</v>
      </c>
      <c r="AC151" s="352">
        <f t="shared" si="4"/>
        <v>0</v>
      </c>
      <c r="AD151" s="352">
        <f t="shared" si="5"/>
        <v>20900000</v>
      </c>
      <c r="AG151" s="273"/>
      <c r="AH151" s="273"/>
    </row>
    <row r="152" spans="2:34" ht="15" customHeight="1" x14ac:dyDescent="0.2">
      <c r="B152" s="11" t="s">
        <v>7</v>
      </c>
      <c r="C152" s="4" t="s">
        <v>20</v>
      </c>
      <c r="D152" s="4" t="s">
        <v>20</v>
      </c>
      <c r="E152" s="4" t="s">
        <v>20</v>
      </c>
      <c r="F152" s="4" t="s">
        <v>16</v>
      </c>
      <c r="G152" s="4" t="s">
        <v>11</v>
      </c>
      <c r="H152" s="4" t="s">
        <v>8</v>
      </c>
      <c r="I152" s="4" t="s">
        <v>22</v>
      </c>
      <c r="J152" s="197"/>
      <c r="K152" s="11"/>
      <c r="L152" s="6" t="s">
        <v>97</v>
      </c>
      <c r="M152" s="6"/>
      <c r="N152" s="133"/>
      <c r="O152" s="156"/>
      <c r="P152" s="159"/>
      <c r="Q152" s="125">
        <v>6500000</v>
      </c>
      <c r="R152" s="5">
        <f>SUM(R153:R153)</f>
        <v>6500000</v>
      </c>
      <c r="S152" s="181"/>
      <c r="T152" s="9"/>
      <c r="U152" s="245"/>
      <c r="V152" s="301"/>
      <c r="W152" s="331"/>
      <c r="X152" s="5"/>
      <c r="Y152" s="5"/>
      <c r="Z152" s="355"/>
      <c r="AA152" s="355"/>
      <c r="AB152" s="355"/>
      <c r="AC152" s="355"/>
      <c r="AD152" s="355"/>
      <c r="AG152" s="273"/>
      <c r="AH152" s="273"/>
    </row>
    <row r="153" spans="2:34" ht="30" customHeight="1" x14ac:dyDescent="0.2">
      <c r="B153" s="623"/>
      <c r="C153" s="624"/>
      <c r="D153" s="624"/>
      <c r="E153" s="624"/>
      <c r="F153" s="624"/>
      <c r="G153" s="624"/>
      <c r="H153" s="624"/>
      <c r="I153" s="624"/>
      <c r="J153" s="624"/>
      <c r="K153" s="99">
        <v>80101500</v>
      </c>
      <c r="L153" s="100" t="s">
        <v>400</v>
      </c>
      <c r="M153" s="134">
        <v>44136</v>
      </c>
      <c r="N153" s="134">
        <v>44105</v>
      </c>
      <c r="O153" s="157" t="s">
        <v>331</v>
      </c>
      <c r="P153" s="157" t="s">
        <v>374</v>
      </c>
      <c r="Q153" s="125"/>
      <c r="R153" s="101">
        <v>6500000</v>
      </c>
      <c r="S153" s="182" t="s">
        <v>386</v>
      </c>
      <c r="T153" s="102"/>
      <c r="U153" s="253" t="s">
        <v>194</v>
      </c>
      <c r="V153" s="302"/>
      <c r="W153" s="332"/>
      <c r="X153" s="174"/>
      <c r="Y153" s="174"/>
      <c r="Z153" s="352"/>
      <c r="AA153" s="352">
        <f>+R153-Y153</f>
        <v>6500000</v>
      </c>
      <c r="AB153" s="352">
        <f>+Z153-AA153</f>
        <v>-6500000</v>
      </c>
      <c r="AC153" s="352" t="str">
        <f>IF(Z153=0,"0",IF(Z153&gt;0,Y153-Z153,))</f>
        <v>0</v>
      </c>
      <c r="AD153" s="352">
        <f>+R153+-Y153+AB153</f>
        <v>0</v>
      </c>
      <c r="AG153" s="273"/>
      <c r="AH153" s="273"/>
    </row>
    <row r="154" spans="2:34" ht="18.2" customHeight="1" x14ac:dyDescent="0.2">
      <c r="B154" s="11" t="s">
        <v>7</v>
      </c>
      <c r="C154" s="4" t="s">
        <v>20</v>
      </c>
      <c r="D154" s="4" t="s">
        <v>20</v>
      </c>
      <c r="E154" s="4" t="s">
        <v>20</v>
      </c>
      <c r="F154" s="4" t="s">
        <v>16</v>
      </c>
      <c r="G154" s="4" t="s">
        <v>11</v>
      </c>
      <c r="H154" s="4" t="s">
        <v>8</v>
      </c>
      <c r="I154" s="4" t="s">
        <v>32</v>
      </c>
      <c r="J154" s="197"/>
      <c r="K154" s="11"/>
      <c r="L154" s="6" t="s">
        <v>98</v>
      </c>
      <c r="M154" s="6"/>
      <c r="N154" s="133"/>
      <c r="O154" s="156"/>
      <c r="P154" s="156"/>
      <c r="Q154" s="125">
        <v>278000000</v>
      </c>
      <c r="R154" s="5">
        <f>SUM(R155:R165)</f>
        <v>266653000</v>
      </c>
      <c r="S154" s="181"/>
      <c r="T154" s="9"/>
      <c r="U154" s="245"/>
      <c r="V154" s="301"/>
      <c r="W154" s="331"/>
      <c r="X154" s="5"/>
      <c r="Y154" s="5"/>
      <c r="Z154" s="355"/>
      <c r="AA154" s="355"/>
      <c r="AB154" s="355"/>
      <c r="AC154" s="355"/>
      <c r="AD154" s="355"/>
      <c r="AG154" s="273"/>
      <c r="AH154" s="273"/>
    </row>
    <row r="155" spans="2:34" ht="30" customHeight="1" x14ac:dyDescent="0.2">
      <c r="B155" s="625"/>
      <c r="C155" s="626"/>
      <c r="D155" s="626"/>
      <c r="E155" s="626"/>
      <c r="F155" s="626"/>
      <c r="G155" s="626"/>
      <c r="H155" s="626"/>
      <c r="I155" s="626"/>
      <c r="J155" s="626"/>
      <c r="K155" s="99">
        <v>81111500</v>
      </c>
      <c r="L155" s="100" t="s">
        <v>234</v>
      </c>
      <c r="M155" s="134">
        <v>43469</v>
      </c>
      <c r="N155" s="134">
        <v>43840</v>
      </c>
      <c r="O155" s="157" t="s">
        <v>305</v>
      </c>
      <c r="P155" s="157" t="s">
        <v>374</v>
      </c>
      <c r="Q155" s="125"/>
      <c r="R155" s="101">
        <v>48400000</v>
      </c>
      <c r="S155" s="182" t="s">
        <v>386</v>
      </c>
      <c r="T155" s="102"/>
      <c r="U155" s="253" t="s">
        <v>181</v>
      </c>
      <c r="V155" s="302">
        <v>1420</v>
      </c>
      <c r="W155" s="332">
        <v>43833</v>
      </c>
      <c r="X155" s="174">
        <v>48400000</v>
      </c>
      <c r="Y155" s="174">
        <v>48400000</v>
      </c>
      <c r="Z155" s="352">
        <v>48400000</v>
      </c>
      <c r="AA155" s="352">
        <f t="shared" ref="AA155:AA165" si="6">+R155-Y155</f>
        <v>0</v>
      </c>
      <c r="AB155" s="352">
        <f t="shared" ref="AB155:AB165" si="7">+Z155-AA155</f>
        <v>48400000</v>
      </c>
      <c r="AC155" s="352">
        <f t="shared" ref="AC155:AC165" si="8">IF(Z155=0,"0",IF(Z155&gt;0,Y155-Z155,))</f>
        <v>0</v>
      </c>
      <c r="AD155" s="352">
        <f t="shared" ref="AD155:AD169" si="9">+R155+-Y155+AB155</f>
        <v>48400000</v>
      </c>
      <c r="AG155" s="273"/>
      <c r="AH155" s="273"/>
    </row>
    <row r="156" spans="2:34" ht="30" customHeight="1" x14ac:dyDescent="0.2">
      <c r="B156" s="625"/>
      <c r="C156" s="626"/>
      <c r="D156" s="626"/>
      <c r="E156" s="626"/>
      <c r="F156" s="626"/>
      <c r="G156" s="626"/>
      <c r="H156" s="626"/>
      <c r="I156" s="626"/>
      <c r="J156" s="626"/>
      <c r="K156" s="99">
        <v>81111500</v>
      </c>
      <c r="L156" s="100" t="s">
        <v>235</v>
      </c>
      <c r="M156" s="134">
        <v>43469</v>
      </c>
      <c r="N156" s="134">
        <v>43840</v>
      </c>
      <c r="O156" s="157" t="s">
        <v>305</v>
      </c>
      <c r="P156" s="157" t="s">
        <v>374</v>
      </c>
      <c r="Q156" s="125"/>
      <c r="R156" s="101">
        <v>44000000</v>
      </c>
      <c r="S156" s="182" t="s">
        <v>386</v>
      </c>
      <c r="T156" s="102"/>
      <c r="U156" s="253" t="s">
        <v>181</v>
      </c>
      <c r="V156" s="302">
        <v>1520</v>
      </c>
      <c r="W156" s="332">
        <v>43833</v>
      </c>
      <c r="X156" s="174">
        <v>44000000</v>
      </c>
      <c r="Y156" s="174">
        <v>44000000</v>
      </c>
      <c r="Z156" s="352">
        <v>44000000</v>
      </c>
      <c r="AA156" s="352">
        <f t="shared" si="6"/>
        <v>0</v>
      </c>
      <c r="AB156" s="352">
        <f t="shared" si="7"/>
        <v>44000000</v>
      </c>
      <c r="AC156" s="352">
        <f t="shared" si="8"/>
        <v>0</v>
      </c>
      <c r="AD156" s="352">
        <f t="shared" si="9"/>
        <v>44000000</v>
      </c>
      <c r="AG156" s="273"/>
      <c r="AH156" s="273"/>
    </row>
    <row r="157" spans="2:34" ht="30" customHeight="1" x14ac:dyDescent="0.2">
      <c r="B157" s="625"/>
      <c r="C157" s="626"/>
      <c r="D157" s="626"/>
      <c r="E157" s="626"/>
      <c r="F157" s="626"/>
      <c r="G157" s="626"/>
      <c r="H157" s="626"/>
      <c r="I157" s="626"/>
      <c r="J157" s="626"/>
      <c r="K157" s="176" t="s">
        <v>308</v>
      </c>
      <c r="L157" s="110" t="s">
        <v>232</v>
      </c>
      <c r="M157" s="110"/>
      <c r="N157" s="135"/>
      <c r="O157" s="158" t="s">
        <v>296</v>
      </c>
      <c r="P157" s="158"/>
      <c r="Q157" s="125"/>
      <c r="R157" s="111">
        <v>14000000</v>
      </c>
      <c r="S157" s="184"/>
      <c r="T157" s="112"/>
      <c r="U157" s="254" t="s">
        <v>181</v>
      </c>
      <c r="V157" s="302">
        <v>3720</v>
      </c>
      <c r="W157" s="332">
        <v>43831</v>
      </c>
      <c r="X157" s="174">
        <v>14000000</v>
      </c>
      <c r="Y157" s="174">
        <v>14000000</v>
      </c>
      <c r="Z157" s="352">
        <v>14000000</v>
      </c>
      <c r="AA157" s="352">
        <f t="shared" si="6"/>
        <v>0</v>
      </c>
      <c r="AB157" s="352">
        <f t="shared" si="7"/>
        <v>14000000</v>
      </c>
      <c r="AC157" s="352">
        <f t="shared" si="8"/>
        <v>0</v>
      </c>
      <c r="AD157" s="352">
        <f t="shared" si="9"/>
        <v>14000000</v>
      </c>
      <c r="AG157" s="273"/>
      <c r="AH157" s="273"/>
    </row>
    <row r="158" spans="2:34" ht="30" customHeight="1" x14ac:dyDescent="0.2">
      <c r="B158" s="625"/>
      <c r="C158" s="626"/>
      <c r="D158" s="626"/>
      <c r="E158" s="626"/>
      <c r="F158" s="626"/>
      <c r="G158" s="626"/>
      <c r="H158" s="626"/>
      <c r="I158" s="626"/>
      <c r="J158" s="626"/>
      <c r="K158" s="177" t="s">
        <v>308</v>
      </c>
      <c r="L158" s="178" t="s">
        <v>306</v>
      </c>
      <c r="M158" s="134">
        <v>43936</v>
      </c>
      <c r="N158" s="134">
        <v>43966</v>
      </c>
      <c r="O158" s="157" t="s">
        <v>301</v>
      </c>
      <c r="P158" s="157" t="s">
        <v>319</v>
      </c>
      <c r="Q158" s="125"/>
      <c r="R158" s="101">
        <v>12000000</v>
      </c>
      <c r="S158" s="182" t="s">
        <v>322</v>
      </c>
      <c r="T158" s="101">
        <v>17000000</v>
      </c>
      <c r="U158" s="253" t="s">
        <v>181</v>
      </c>
      <c r="V158" s="302"/>
      <c r="W158" s="332"/>
      <c r="X158" s="174"/>
      <c r="Y158" s="174"/>
      <c r="Z158" s="352"/>
      <c r="AA158" s="352">
        <f t="shared" si="6"/>
        <v>12000000</v>
      </c>
      <c r="AB158" s="352">
        <f t="shared" si="7"/>
        <v>-12000000</v>
      </c>
      <c r="AC158" s="352" t="str">
        <f t="shared" si="8"/>
        <v>0</v>
      </c>
      <c r="AD158" s="352">
        <f t="shared" si="9"/>
        <v>0</v>
      </c>
      <c r="AG158" s="273"/>
      <c r="AH158" s="273"/>
    </row>
    <row r="159" spans="2:34" ht="30" customHeight="1" x14ac:dyDescent="0.2">
      <c r="B159" s="625"/>
      <c r="C159" s="626"/>
      <c r="D159" s="626"/>
      <c r="E159" s="626"/>
      <c r="F159" s="626"/>
      <c r="G159" s="626"/>
      <c r="H159" s="626"/>
      <c r="I159" s="626"/>
      <c r="J159" s="626"/>
      <c r="K159" s="109">
        <v>81112200</v>
      </c>
      <c r="L159" s="110" t="s">
        <v>236</v>
      </c>
      <c r="M159" s="110"/>
      <c r="N159" s="135"/>
      <c r="O159" s="158" t="s">
        <v>296</v>
      </c>
      <c r="P159" s="158"/>
      <c r="Q159" s="125"/>
      <c r="R159" s="111">
        <v>12453000</v>
      </c>
      <c r="S159" s="184"/>
      <c r="T159" s="112"/>
      <c r="U159" s="254" t="s">
        <v>181</v>
      </c>
      <c r="V159" s="302">
        <v>3220</v>
      </c>
      <c r="W159" s="332">
        <v>43844</v>
      </c>
      <c r="X159" s="174">
        <v>8792630</v>
      </c>
      <c r="Y159" s="174">
        <v>8792630</v>
      </c>
      <c r="Z159" s="352">
        <v>8792630</v>
      </c>
      <c r="AA159" s="352">
        <f t="shared" si="6"/>
        <v>3660370</v>
      </c>
      <c r="AB159" s="352">
        <f t="shared" si="7"/>
        <v>5132260</v>
      </c>
      <c r="AC159" s="352">
        <f t="shared" si="8"/>
        <v>0</v>
      </c>
      <c r="AD159" s="352">
        <f t="shared" si="9"/>
        <v>8792630</v>
      </c>
      <c r="AG159" s="273"/>
      <c r="AH159" s="273"/>
    </row>
    <row r="160" spans="2:34" ht="30" customHeight="1" x14ac:dyDescent="0.2">
      <c r="B160" s="625"/>
      <c r="C160" s="626"/>
      <c r="D160" s="626"/>
      <c r="E160" s="626"/>
      <c r="F160" s="626"/>
      <c r="G160" s="626"/>
      <c r="H160" s="626"/>
      <c r="I160" s="626"/>
      <c r="J160" s="626"/>
      <c r="K160" s="99">
        <v>82112200</v>
      </c>
      <c r="L160" s="178" t="s">
        <v>176</v>
      </c>
      <c r="M160" s="134">
        <v>43845</v>
      </c>
      <c r="N160" s="134">
        <v>43876</v>
      </c>
      <c r="O160" s="157" t="s">
        <v>299</v>
      </c>
      <c r="P160" s="157" t="s">
        <v>338</v>
      </c>
      <c r="Q160" s="125"/>
      <c r="R160" s="101">
        <v>8700000</v>
      </c>
      <c r="S160" s="182" t="s">
        <v>386</v>
      </c>
      <c r="T160" s="102"/>
      <c r="U160" s="253" t="s">
        <v>181</v>
      </c>
      <c r="V160" s="302">
        <v>8520</v>
      </c>
      <c r="W160" s="332">
        <v>43853</v>
      </c>
      <c r="X160" s="174">
        <v>8700000</v>
      </c>
      <c r="Y160" s="174">
        <v>8700000</v>
      </c>
      <c r="Z160" s="352">
        <v>0</v>
      </c>
      <c r="AA160" s="352">
        <f t="shared" si="6"/>
        <v>0</v>
      </c>
      <c r="AB160" s="352">
        <f t="shared" si="7"/>
        <v>0</v>
      </c>
      <c r="AC160" s="352" t="str">
        <f t="shared" si="8"/>
        <v>0</v>
      </c>
      <c r="AD160" s="352">
        <f t="shared" si="9"/>
        <v>0</v>
      </c>
      <c r="AG160" s="273"/>
      <c r="AH160" s="273"/>
    </row>
    <row r="161" spans="2:34" ht="30" customHeight="1" x14ac:dyDescent="0.2">
      <c r="B161" s="625"/>
      <c r="C161" s="626"/>
      <c r="D161" s="626"/>
      <c r="E161" s="626"/>
      <c r="F161" s="626"/>
      <c r="G161" s="626"/>
      <c r="H161" s="626"/>
      <c r="I161" s="626"/>
      <c r="J161" s="626"/>
      <c r="K161" s="99">
        <v>82112200</v>
      </c>
      <c r="L161" s="100" t="s">
        <v>233</v>
      </c>
      <c r="M161" s="134">
        <v>43966</v>
      </c>
      <c r="N161" s="134">
        <v>43997</v>
      </c>
      <c r="O161" s="157" t="s">
        <v>311</v>
      </c>
      <c r="P161" s="157" t="s">
        <v>319</v>
      </c>
      <c r="Q161" s="125"/>
      <c r="R161" s="101">
        <v>20000000</v>
      </c>
      <c r="S161" s="182" t="s">
        <v>386</v>
      </c>
      <c r="T161" s="102"/>
      <c r="U161" s="253" t="s">
        <v>181</v>
      </c>
      <c r="V161" s="302"/>
      <c r="W161" s="332"/>
      <c r="X161" s="174"/>
      <c r="Y161" s="174"/>
      <c r="Z161" s="352"/>
      <c r="AA161" s="352">
        <f t="shared" si="6"/>
        <v>20000000</v>
      </c>
      <c r="AB161" s="352">
        <f t="shared" si="7"/>
        <v>-20000000</v>
      </c>
      <c r="AC161" s="352" t="str">
        <f t="shared" si="8"/>
        <v>0</v>
      </c>
      <c r="AD161" s="352">
        <f t="shared" si="9"/>
        <v>0</v>
      </c>
      <c r="AG161" s="273"/>
      <c r="AH161" s="273"/>
    </row>
    <row r="162" spans="2:34" ht="15" customHeight="1" x14ac:dyDescent="0.2">
      <c r="B162" s="625"/>
      <c r="C162" s="626"/>
      <c r="D162" s="626"/>
      <c r="E162" s="626"/>
      <c r="F162" s="626"/>
      <c r="G162" s="626"/>
      <c r="H162" s="626"/>
      <c r="I162" s="626"/>
      <c r="J162" s="626"/>
      <c r="K162" s="99">
        <v>82112200</v>
      </c>
      <c r="L162" s="100" t="s">
        <v>177</v>
      </c>
      <c r="M162" s="134">
        <v>44013</v>
      </c>
      <c r="N162" s="134">
        <v>44044</v>
      </c>
      <c r="O162" s="157" t="s">
        <v>301</v>
      </c>
      <c r="P162" s="157" t="s">
        <v>319</v>
      </c>
      <c r="Q162" s="125"/>
      <c r="R162" s="101">
        <v>35000000</v>
      </c>
      <c r="S162" s="182" t="s">
        <v>386</v>
      </c>
      <c r="T162" s="102"/>
      <c r="U162" s="253" t="s">
        <v>181</v>
      </c>
      <c r="V162" s="302"/>
      <c r="W162" s="332"/>
      <c r="X162" s="174"/>
      <c r="Y162" s="174"/>
      <c r="Z162" s="352"/>
      <c r="AA162" s="352">
        <f t="shared" si="6"/>
        <v>35000000</v>
      </c>
      <c r="AB162" s="352">
        <f t="shared" si="7"/>
        <v>-35000000</v>
      </c>
      <c r="AC162" s="352" t="str">
        <f t="shared" si="8"/>
        <v>0</v>
      </c>
      <c r="AD162" s="352">
        <f t="shared" si="9"/>
        <v>0</v>
      </c>
      <c r="AG162" s="273"/>
      <c r="AH162" s="273"/>
    </row>
    <row r="163" spans="2:34" ht="30" customHeight="1" x14ac:dyDescent="0.2">
      <c r="B163" s="625"/>
      <c r="C163" s="626"/>
      <c r="D163" s="626"/>
      <c r="E163" s="626"/>
      <c r="F163" s="626"/>
      <c r="G163" s="626"/>
      <c r="H163" s="626"/>
      <c r="I163" s="626"/>
      <c r="J163" s="626"/>
      <c r="K163" s="99">
        <v>43222501</v>
      </c>
      <c r="L163" s="100" t="s">
        <v>180</v>
      </c>
      <c r="M163" s="134">
        <v>43845</v>
      </c>
      <c r="N163" s="134">
        <v>43876</v>
      </c>
      <c r="O163" s="157" t="s">
        <v>299</v>
      </c>
      <c r="P163" s="157" t="s">
        <v>319</v>
      </c>
      <c r="Q163" s="125"/>
      <c r="R163" s="101">
        <v>60000000</v>
      </c>
      <c r="S163" s="182" t="s">
        <v>386</v>
      </c>
      <c r="T163" s="102"/>
      <c r="U163" s="253" t="s">
        <v>181</v>
      </c>
      <c r="V163" s="302">
        <v>7920</v>
      </c>
      <c r="W163" s="332">
        <v>43852</v>
      </c>
      <c r="X163" s="174">
        <v>60000000</v>
      </c>
      <c r="Y163" s="174">
        <v>60000000</v>
      </c>
      <c r="Z163" s="352">
        <v>48504400</v>
      </c>
      <c r="AA163" s="352">
        <f t="shared" si="6"/>
        <v>0</v>
      </c>
      <c r="AB163" s="352">
        <f t="shared" si="7"/>
        <v>48504400</v>
      </c>
      <c r="AC163" s="352">
        <f t="shared" si="8"/>
        <v>11495600</v>
      </c>
      <c r="AD163" s="352">
        <f t="shared" si="9"/>
        <v>48504400</v>
      </c>
      <c r="AG163" s="273"/>
      <c r="AH163" s="273"/>
    </row>
    <row r="164" spans="2:34" ht="15" customHeight="1" x14ac:dyDescent="0.2">
      <c r="B164" s="625"/>
      <c r="C164" s="626"/>
      <c r="D164" s="626"/>
      <c r="E164" s="626"/>
      <c r="F164" s="626"/>
      <c r="G164" s="626"/>
      <c r="H164" s="626"/>
      <c r="I164" s="626"/>
      <c r="J164" s="626"/>
      <c r="K164" s="99">
        <v>81112000</v>
      </c>
      <c r="L164" s="178" t="s">
        <v>313</v>
      </c>
      <c r="M164" s="134">
        <v>43862</v>
      </c>
      <c r="N164" s="134">
        <v>43891</v>
      </c>
      <c r="O164" s="157" t="s">
        <v>305</v>
      </c>
      <c r="P164" s="157" t="s">
        <v>318</v>
      </c>
      <c r="Q164" s="125"/>
      <c r="R164" s="101">
        <v>5500000</v>
      </c>
      <c r="S164" s="182" t="s">
        <v>386</v>
      </c>
      <c r="T164" s="102"/>
      <c r="U164" s="253" t="s">
        <v>222</v>
      </c>
      <c r="V164" s="302"/>
      <c r="W164" s="332"/>
      <c r="X164" s="174"/>
      <c r="Y164" s="174"/>
      <c r="Z164" s="352"/>
      <c r="AA164" s="352">
        <f t="shared" si="6"/>
        <v>5500000</v>
      </c>
      <c r="AB164" s="352">
        <f t="shared" si="7"/>
        <v>-5500000</v>
      </c>
      <c r="AC164" s="352" t="str">
        <f t="shared" si="8"/>
        <v>0</v>
      </c>
      <c r="AD164" s="352">
        <f t="shared" si="9"/>
        <v>0</v>
      </c>
      <c r="AG164" s="273"/>
      <c r="AH164" s="273"/>
    </row>
    <row r="165" spans="2:34" ht="15" customHeight="1" x14ac:dyDescent="0.2">
      <c r="B165" s="625"/>
      <c r="C165" s="626"/>
      <c r="D165" s="626"/>
      <c r="E165" s="626"/>
      <c r="F165" s="626"/>
      <c r="G165" s="626"/>
      <c r="H165" s="626"/>
      <c r="I165" s="626"/>
      <c r="J165" s="626"/>
      <c r="K165" s="99">
        <v>81112000</v>
      </c>
      <c r="L165" s="178" t="s">
        <v>314</v>
      </c>
      <c r="M165" s="134">
        <v>43862</v>
      </c>
      <c r="N165" s="134">
        <v>43891</v>
      </c>
      <c r="O165" s="157" t="s">
        <v>305</v>
      </c>
      <c r="P165" s="157" t="s">
        <v>318</v>
      </c>
      <c r="Q165" s="125"/>
      <c r="R165" s="101">
        <v>6600000</v>
      </c>
      <c r="S165" s="182" t="s">
        <v>386</v>
      </c>
      <c r="T165" s="102"/>
      <c r="U165" s="253" t="s">
        <v>222</v>
      </c>
      <c r="V165" s="302"/>
      <c r="W165" s="332"/>
      <c r="X165" s="174"/>
      <c r="Y165" s="174"/>
      <c r="Z165" s="352"/>
      <c r="AA165" s="352">
        <f t="shared" si="6"/>
        <v>6600000</v>
      </c>
      <c r="AB165" s="352">
        <f t="shared" si="7"/>
        <v>-6600000</v>
      </c>
      <c r="AC165" s="352" t="str">
        <f t="shared" si="8"/>
        <v>0</v>
      </c>
      <c r="AD165" s="352">
        <f t="shared" si="9"/>
        <v>0</v>
      </c>
      <c r="AG165" s="273"/>
      <c r="AH165" s="273"/>
    </row>
    <row r="166" spans="2:34" ht="17.649999999999999" customHeight="1" x14ac:dyDescent="0.2">
      <c r="B166" s="11" t="s">
        <v>7</v>
      </c>
      <c r="C166" s="4" t="s">
        <v>20</v>
      </c>
      <c r="D166" s="4" t="s">
        <v>20</v>
      </c>
      <c r="E166" s="4" t="s">
        <v>20</v>
      </c>
      <c r="F166" s="4" t="s">
        <v>16</v>
      </c>
      <c r="G166" s="4" t="s">
        <v>11</v>
      </c>
      <c r="H166" s="4" t="s">
        <v>8</v>
      </c>
      <c r="I166" s="4" t="s">
        <v>33</v>
      </c>
      <c r="J166" s="197"/>
      <c r="K166" s="11"/>
      <c r="L166" s="6" t="s">
        <v>99</v>
      </c>
      <c r="M166" s="6"/>
      <c r="N166" s="133"/>
      <c r="O166" s="156"/>
      <c r="P166" s="156"/>
      <c r="Q166" s="125">
        <v>48400000</v>
      </c>
      <c r="R166" s="5">
        <f>SUM(R167:R167)</f>
        <v>48400000</v>
      </c>
      <c r="S166" s="181"/>
      <c r="T166" s="9"/>
      <c r="U166" s="245"/>
      <c r="V166" s="301"/>
      <c r="W166" s="331"/>
      <c r="X166" s="5"/>
      <c r="Y166" s="5"/>
      <c r="Z166" s="355"/>
      <c r="AA166" s="355"/>
      <c r="AB166" s="355"/>
      <c r="AC166" s="355"/>
      <c r="AD166" s="355"/>
      <c r="AG166" s="273"/>
      <c r="AH166" s="273"/>
    </row>
    <row r="167" spans="2:34" ht="30" customHeight="1" x14ac:dyDescent="0.2">
      <c r="B167" s="623"/>
      <c r="C167" s="624"/>
      <c r="D167" s="624"/>
      <c r="E167" s="624"/>
      <c r="F167" s="624"/>
      <c r="G167" s="624"/>
      <c r="H167" s="624"/>
      <c r="I167" s="624"/>
      <c r="J167" s="624"/>
      <c r="K167" s="99">
        <v>81111500</v>
      </c>
      <c r="L167" s="100" t="s">
        <v>179</v>
      </c>
      <c r="M167" s="134">
        <v>43469</v>
      </c>
      <c r="N167" s="134">
        <v>43845</v>
      </c>
      <c r="O167" s="157" t="s">
        <v>305</v>
      </c>
      <c r="P167" s="157" t="s">
        <v>374</v>
      </c>
      <c r="Q167" s="125"/>
      <c r="R167" s="101">
        <v>48400000</v>
      </c>
      <c r="S167" s="182" t="s">
        <v>386</v>
      </c>
      <c r="T167" s="102"/>
      <c r="U167" s="253" t="s">
        <v>181</v>
      </c>
      <c r="V167" s="302">
        <v>1720</v>
      </c>
      <c r="W167" s="332">
        <v>43833</v>
      </c>
      <c r="X167" s="174">
        <v>48400000</v>
      </c>
      <c r="Y167" s="174">
        <v>48400000</v>
      </c>
      <c r="Z167" s="352">
        <v>48400000</v>
      </c>
      <c r="AA167" s="352">
        <f>+R167-Y167</f>
        <v>0</v>
      </c>
      <c r="AB167" s="352">
        <f>+Z167-AA167</f>
        <v>48400000</v>
      </c>
      <c r="AC167" s="352">
        <f>IF(Z167=0,"0",IF(Z167&gt;0,Y167-Z167,))</f>
        <v>0</v>
      </c>
      <c r="AD167" s="352">
        <f t="shared" si="9"/>
        <v>48400000</v>
      </c>
      <c r="AG167" s="273"/>
      <c r="AH167" s="273"/>
    </row>
    <row r="168" spans="2:34" ht="15" customHeight="1" x14ac:dyDescent="0.2">
      <c r="B168" s="11" t="s">
        <v>7</v>
      </c>
      <c r="C168" s="4" t="s">
        <v>20</v>
      </c>
      <c r="D168" s="4" t="s">
        <v>20</v>
      </c>
      <c r="E168" s="4" t="s">
        <v>20</v>
      </c>
      <c r="F168" s="4" t="s">
        <v>16</v>
      </c>
      <c r="G168" s="4" t="s">
        <v>11</v>
      </c>
      <c r="H168" s="4" t="s">
        <v>8</v>
      </c>
      <c r="I168" s="4" t="s">
        <v>35</v>
      </c>
      <c r="J168" s="197"/>
      <c r="K168" s="11"/>
      <c r="L168" s="6" t="s">
        <v>100</v>
      </c>
      <c r="M168" s="6"/>
      <c r="N168" s="133"/>
      <c r="O168" s="156"/>
      <c r="P168" s="156"/>
      <c r="Q168" s="125">
        <v>23000000</v>
      </c>
      <c r="R168" s="5">
        <f>SUM(R169:R169)</f>
        <v>200000000</v>
      </c>
      <c r="S168" s="181"/>
      <c r="T168" s="9"/>
      <c r="U168" s="245"/>
      <c r="V168" s="301"/>
      <c r="W168" s="331"/>
      <c r="X168" s="5"/>
      <c r="Y168" s="5"/>
      <c r="Z168" s="355"/>
      <c r="AA168" s="355"/>
      <c r="AB168" s="355"/>
      <c r="AC168" s="355"/>
      <c r="AD168" s="355"/>
      <c r="AG168" s="273"/>
      <c r="AH168" s="273"/>
    </row>
    <row r="169" spans="2:34" ht="30" customHeight="1" x14ac:dyDescent="0.2">
      <c r="B169" s="623"/>
      <c r="C169" s="624"/>
      <c r="D169" s="624"/>
      <c r="E169" s="624"/>
      <c r="F169" s="624"/>
      <c r="G169" s="624"/>
      <c r="H169" s="624"/>
      <c r="I169" s="624"/>
      <c r="J169" s="624"/>
      <c r="K169" s="99">
        <v>81111500</v>
      </c>
      <c r="L169" s="100" t="s">
        <v>178</v>
      </c>
      <c r="M169" s="134">
        <v>43468</v>
      </c>
      <c r="N169" s="134">
        <v>43497</v>
      </c>
      <c r="O169" s="157" t="s">
        <v>307</v>
      </c>
      <c r="P169" s="157" t="s">
        <v>319</v>
      </c>
      <c r="Q169" s="125"/>
      <c r="R169" s="101">
        <v>200000000</v>
      </c>
      <c r="S169" s="182" t="s">
        <v>386</v>
      </c>
      <c r="T169" s="102"/>
      <c r="U169" s="253" t="s">
        <v>181</v>
      </c>
      <c r="V169" s="302">
        <v>1620</v>
      </c>
      <c r="W169" s="332">
        <v>43833</v>
      </c>
      <c r="X169" s="174">
        <v>200000000</v>
      </c>
      <c r="Y169" s="174">
        <v>200000000</v>
      </c>
      <c r="Z169" s="352">
        <v>160828500</v>
      </c>
      <c r="AA169" s="352">
        <f>+R169-Y169</f>
        <v>0</v>
      </c>
      <c r="AB169" s="352">
        <f>+Z169-AA169</f>
        <v>160828500</v>
      </c>
      <c r="AC169" s="352">
        <f>IF(Z169=0,"0",IF(Z169&gt;0,Y169-Z169,))</f>
        <v>39171500</v>
      </c>
      <c r="AD169" s="352">
        <f t="shared" si="9"/>
        <v>160828500</v>
      </c>
      <c r="AG169" s="273"/>
      <c r="AH169" s="273"/>
    </row>
    <row r="170" spans="2:34" ht="18.2" customHeight="1" x14ac:dyDescent="0.2">
      <c r="B170" s="91" t="s">
        <v>7</v>
      </c>
      <c r="C170" s="92" t="s">
        <v>20</v>
      </c>
      <c r="D170" s="92" t="s">
        <v>20</v>
      </c>
      <c r="E170" s="92" t="s">
        <v>20</v>
      </c>
      <c r="F170" s="92" t="s">
        <v>16</v>
      </c>
      <c r="G170" s="92" t="s">
        <v>12</v>
      </c>
      <c r="H170" s="92"/>
      <c r="I170" s="92"/>
      <c r="J170" s="196"/>
      <c r="K170" s="91"/>
      <c r="L170" s="93" t="s">
        <v>101</v>
      </c>
      <c r="M170" s="93"/>
      <c r="N170" s="132"/>
      <c r="O170" s="155"/>
      <c r="P170" s="155"/>
      <c r="Q170" s="125">
        <f>+Q171+Q175</f>
        <v>58900000</v>
      </c>
      <c r="R170" s="94">
        <f>+R171+R175</f>
        <v>58900000</v>
      </c>
      <c r="S170" s="92"/>
      <c r="T170" s="95"/>
      <c r="U170" s="244"/>
      <c r="V170" s="300"/>
      <c r="W170" s="330"/>
      <c r="X170" s="94"/>
      <c r="Y170" s="94"/>
      <c r="Z170" s="354"/>
      <c r="AA170" s="354"/>
      <c r="AB170" s="354"/>
      <c r="AC170" s="354"/>
      <c r="AD170" s="354"/>
      <c r="AG170" s="273"/>
      <c r="AH170" s="273"/>
    </row>
    <row r="171" spans="2:34" ht="15" customHeight="1" x14ac:dyDescent="0.2">
      <c r="B171" s="11" t="s">
        <v>7</v>
      </c>
      <c r="C171" s="4" t="s">
        <v>20</v>
      </c>
      <c r="D171" s="4" t="s">
        <v>20</v>
      </c>
      <c r="E171" s="4" t="s">
        <v>20</v>
      </c>
      <c r="F171" s="4" t="s">
        <v>16</v>
      </c>
      <c r="G171" s="4" t="s">
        <v>12</v>
      </c>
      <c r="H171" s="4" t="s">
        <v>8</v>
      </c>
      <c r="I171" s="4"/>
      <c r="J171" s="197"/>
      <c r="K171" s="11"/>
      <c r="L171" s="6" t="s">
        <v>102</v>
      </c>
      <c r="M171" s="6"/>
      <c r="N171" s="133"/>
      <c r="O171" s="156"/>
      <c r="P171" s="156"/>
      <c r="Q171" s="125">
        <v>43900000</v>
      </c>
      <c r="R171" s="5">
        <f>SUM(R172:R174)</f>
        <v>43900000</v>
      </c>
      <c r="S171" s="181"/>
      <c r="T171" s="9"/>
      <c r="U171" s="245"/>
      <c r="V171" s="301"/>
      <c r="W171" s="331"/>
      <c r="X171" s="5"/>
      <c r="Y171" s="5"/>
      <c r="Z171" s="355"/>
      <c r="AA171" s="355"/>
      <c r="AB171" s="355"/>
      <c r="AC171" s="355"/>
      <c r="AD171" s="355"/>
      <c r="AG171" s="273"/>
      <c r="AH171" s="273"/>
    </row>
    <row r="172" spans="2:34" ht="45" customHeight="1" x14ac:dyDescent="0.2">
      <c r="B172" s="623"/>
      <c r="C172" s="624"/>
      <c r="D172" s="624"/>
      <c r="E172" s="624"/>
      <c r="F172" s="624"/>
      <c r="G172" s="624"/>
      <c r="H172" s="624"/>
      <c r="I172" s="624"/>
      <c r="J172" s="624"/>
      <c r="K172" s="99"/>
      <c r="L172" s="100" t="s">
        <v>262</v>
      </c>
      <c r="M172" s="157" t="s">
        <v>375</v>
      </c>
      <c r="N172" s="134">
        <v>43832</v>
      </c>
      <c r="O172" s="157" t="s">
        <v>301</v>
      </c>
      <c r="P172" s="157" t="s">
        <v>375</v>
      </c>
      <c r="Q172" s="125"/>
      <c r="R172" s="101">
        <v>30000000</v>
      </c>
      <c r="S172" s="182" t="s">
        <v>386</v>
      </c>
      <c r="T172" s="102"/>
      <c r="U172" s="253" t="s">
        <v>271</v>
      </c>
      <c r="V172" s="302" t="s">
        <v>442</v>
      </c>
      <c r="W172" s="332" t="s">
        <v>443</v>
      </c>
      <c r="X172" s="174">
        <f>3024415.35+1820534.25+16343618.13</f>
        <v>21188567.73</v>
      </c>
      <c r="Y172" s="174">
        <f>3024415.35+1820534.25+16343618.13</f>
        <v>21188567.73</v>
      </c>
      <c r="Z172" s="174">
        <f>3024415.35+1820534.25+16343618.13</f>
        <v>21188567.73</v>
      </c>
      <c r="AA172" s="352">
        <f>+R172-Y172</f>
        <v>8811432.2699999996</v>
      </c>
      <c r="AB172" s="352">
        <f>+Z172-AA172</f>
        <v>12377135.460000001</v>
      </c>
      <c r="AC172" s="352">
        <f>IF(Z172=0,"0",IF(Z172&gt;0,Y172-Z172,))</f>
        <v>0</v>
      </c>
      <c r="AD172" s="352">
        <f t="shared" ref="AD172:AD177" si="10">+R172+-Y172+AB172</f>
        <v>21188567.73</v>
      </c>
      <c r="AG172" s="273"/>
      <c r="AH172" s="273"/>
    </row>
    <row r="173" spans="2:34" ht="45" customHeight="1" x14ac:dyDescent="0.2">
      <c r="B173" s="625"/>
      <c r="C173" s="626"/>
      <c r="D173" s="626"/>
      <c r="E173" s="626"/>
      <c r="F173" s="626"/>
      <c r="G173" s="626"/>
      <c r="H173" s="626"/>
      <c r="I173" s="626"/>
      <c r="J173" s="626"/>
      <c r="K173" s="99"/>
      <c r="L173" s="100" t="s">
        <v>263</v>
      </c>
      <c r="M173" s="157" t="s">
        <v>375</v>
      </c>
      <c r="N173" s="134">
        <v>43832</v>
      </c>
      <c r="O173" s="157" t="s">
        <v>301</v>
      </c>
      <c r="P173" s="157" t="s">
        <v>375</v>
      </c>
      <c r="Q173" s="125"/>
      <c r="R173" s="101">
        <v>10000000</v>
      </c>
      <c r="S173" s="182" t="s">
        <v>386</v>
      </c>
      <c r="T173" s="102"/>
      <c r="U173" s="253" t="s">
        <v>271</v>
      </c>
      <c r="V173" s="302">
        <v>10520</v>
      </c>
      <c r="W173" s="332">
        <v>43864</v>
      </c>
      <c r="X173" s="174">
        <v>1644340</v>
      </c>
      <c r="Y173" s="174">
        <v>1644340</v>
      </c>
      <c r="Z173" s="352">
        <v>1644340</v>
      </c>
      <c r="AA173" s="352">
        <f>+R173-Y173</f>
        <v>8355660</v>
      </c>
      <c r="AB173" s="352">
        <f>+Z173-AA173</f>
        <v>-6711320</v>
      </c>
      <c r="AC173" s="352">
        <f>IF(Z173=0,"0",IF(Z173&gt;0,Y173-Z173,))</f>
        <v>0</v>
      </c>
      <c r="AD173" s="352">
        <f t="shared" si="10"/>
        <v>1644340</v>
      </c>
      <c r="AG173" s="273"/>
      <c r="AH173" s="273"/>
    </row>
    <row r="174" spans="2:34" ht="15" customHeight="1" x14ac:dyDescent="0.2">
      <c r="B174" s="625"/>
      <c r="C174" s="626"/>
      <c r="D174" s="626"/>
      <c r="E174" s="626"/>
      <c r="F174" s="626"/>
      <c r="G174" s="626"/>
      <c r="H174" s="626"/>
      <c r="I174" s="626"/>
      <c r="J174" s="626"/>
      <c r="K174" s="113"/>
      <c r="L174" s="114" t="s">
        <v>264</v>
      </c>
      <c r="M174" s="114"/>
      <c r="N174" s="137"/>
      <c r="O174" s="160"/>
      <c r="P174" s="160"/>
      <c r="Q174" s="125"/>
      <c r="R174" s="115">
        <v>3900000</v>
      </c>
      <c r="S174" s="187"/>
      <c r="T174" s="116"/>
      <c r="U174" s="256"/>
      <c r="V174" s="302"/>
      <c r="W174" s="332"/>
      <c r="X174" s="174"/>
      <c r="Y174" s="174"/>
      <c r="Z174" s="352"/>
      <c r="AA174" s="352">
        <f>+R174-Y174</f>
        <v>3900000</v>
      </c>
      <c r="AB174" s="352">
        <f>+Z174-AA174</f>
        <v>-3900000</v>
      </c>
      <c r="AC174" s="352" t="str">
        <f>IF(Z174=0,"0",IF(Z174&gt;0,Y174-Z174,))</f>
        <v>0</v>
      </c>
      <c r="AD174" s="352">
        <f t="shared" si="10"/>
        <v>0</v>
      </c>
      <c r="AG174" s="273"/>
      <c r="AH174" s="273"/>
    </row>
    <row r="175" spans="2:34" ht="15" customHeight="1" x14ac:dyDescent="0.2">
      <c r="B175" s="11" t="s">
        <v>7</v>
      </c>
      <c r="C175" s="4" t="s">
        <v>20</v>
      </c>
      <c r="D175" s="4" t="s">
        <v>20</v>
      </c>
      <c r="E175" s="4" t="s">
        <v>20</v>
      </c>
      <c r="F175" s="4" t="s">
        <v>16</v>
      </c>
      <c r="G175" s="4" t="s">
        <v>12</v>
      </c>
      <c r="H175" s="4" t="s">
        <v>20</v>
      </c>
      <c r="I175" s="4"/>
      <c r="J175" s="197"/>
      <c r="K175" s="11"/>
      <c r="L175" s="6" t="s">
        <v>103</v>
      </c>
      <c r="M175" s="6"/>
      <c r="N175" s="133"/>
      <c r="O175" s="156"/>
      <c r="P175" s="156"/>
      <c r="Q175" s="125">
        <v>15000000</v>
      </c>
      <c r="R175" s="5">
        <f>SUM(R176:R177)</f>
        <v>15000000</v>
      </c>
      <c r="S175" s="181"/>
      <c r="T175" s="9"/>
      <c r="U175" s="245"/>
      <c r="V175" s="301"/>
      <c r="W175" s="331"/>
      <c r="X175" s="5"/>
      <c r="Y175" s="5"/>
      <c r="Z175" s="355"/>
      <c r="AA175" s="355"/>
      <c r="AB175" s="355"/>
      <c r="AC175" s="355"/>
      <c r="AD175" s="355"/>
      <c r="AG175" s="273"/>
      <c r="AH175" s="273"/>
    </row>
    <row r="176" spans="2:34" ht="30" customHeight="1" x14ac:dyDescent="0.2">
      <c r="B176" s="623"/>
      <c r="C176" s="624"/>
      <c r="D176" s="624"/>
      <c r="E176" s="624"/>
      <c r="F176" s="624"/>
      <c r="G176" s="624"/>
      <c r="H176" s="624"/>
      <c r="I176" s="624"/>
      <c r="J176" s="624"/>
      <c r="K176" s="109">
        <v>81112100</v>
      </c>
      <c r="L176" s="110" t="s">
        <v>230</v>
      </c>
      <c r="M176" s="110"/>
      <c r="N176" s="135"/>
      <c r="O176" s="158"/>
      <c r="P176" s="158"/>
      <c r="Q176" s="125"/>
      <c r="R176" s="111">
        <v>9520000</v>
      </c>
      <c r="S176" s="184"/>
      <c r="T176" s="112"/>
      <c r="U176" s="254" t="s">
        <v>181</v>
      </c>
      <c r="V176" s="302">
        <v>3520</v>
      </c>
      <c r="W176" s="332">
        <v>43844</v>
      </c>
      <c r="X176" s="174">
        <v>3090430</v>
      </c>
      <c r="Y176" s="174">
        <v>3090430</v>
      </c>
      <c r="Z176" s="352">
        <v>3090430</v>
      </c>
      <c r="AA176" s="352">
        <f>+R176-Y176</f>
        <v>6429570</v>
      </c>
      <c r="AB176" s="352">
        <f>+Z176-AA176</f>
        <v>-3339140</v>
      </c>
      <c r="AC176" s="352">
        <f>IF(Z176=0,"0",IF(Z176&gt;0,Y176-Z176,))</f>
        <v>0</v>
      </c>
      <c r="AD176" s="352">
        <f t="shared" si="10"/>
        <v>3090430</v>
      </c>
      <c r="AG176" s="273"/>
      <c r="AH176" s="273"/>
    </row>
    <row r="177" spans="2:34" ht="30" customHeight="1" x14ac:dyDescent="0.2">
      <c r="B177" s="625"/>
      <c r="C177" s="626"/>
      <c r="D177" s="626"/>
      <c r="E177" s="626"/>
      <c r="F177" s="626"/>
      <c r="G177" s="626"/>
      <c r="H177" s="626"/>
      <c r="I177" s="626"/>
      <c r="J177" s="626"/>
      <c r="K177" s="99">
        <v>81112100</v>
      </c>
      <c r="L177" s="100" t="s">
        <v>231</v>
      </c>
      <c r="M177" s="134">
        <v>43952</v>
      </c>
      <c r="N177" s="134">
        <v>43983</v>
      </c>
      <c r="O177" s="157" t="s">
        <v>311</v>
      </c>
      <c r="P177" s="157" t="s">
        <v>384</v>
      </c>
      <c r="Q177" s="125"/>
      <c r="R177" s="101">
        <v>5480000</v>
      </c>
      <c r="S177" s="182" t="s">
        <v>322</v>
      </c>
      <c r="T177" s="101">
        <v>7900000</v>
      </c>
      <c r="U177" s="253" t="s">
        <v>181</v>
      </c>
      <c r="V177" s="302"/>
      <c r="W177" s="332"/>
      <c r="X177" s="174"/>
      <c r="Y177" s="174"/>
      <c r="Z177" s="352"/>
      <c r="AA177" s="352">
        <f>+R177-Y177</f>
        <v>5480000</v>
      </c>
      <c r="AB177" s="352">
        <f>+Z177-AA177</f>
        <v>-5480000</v>
      </c>
      <c r="AC177" s="352" t="str">
        <f>IF(Z177=0,"0",IF(Z177&gt;0,Y177-Z177,))</f>
        <v>0</v>
      </c>
      <c r="AD177" s="352">
        <f t="shared" si="10"/>
        <v>0</v>
      </c>
      <c r="AG177" s="273"/>
      <c r="AH177" s="273"/>
    </row>
    <row r="178" spans="2:34" ht="30" customHeight="1" x14ac:dyDescent="0.2">
      <c r="B178" s="91" t="s">
        <v>7</v>
      </c>
      <c r="C178" s="92" t="s">
        <v>20</v>
      </c>
      <c r="D178" s="92" t="s">
        <v>20</v>
      </c>
      <c r="E178" s="92" t="s">
        <v>20</v>
      </c>
      <c r="F178" s="92" t="s">
        <v>16</v>
      </c>
      <c r="G178" s="92" t="s">
        <v>15</v>
      </c>
      <c r="H178" s="92"/>
      <c r="I178" s="92"/>
      <c r="J178" s="196"/>
      <c r="K178" s="91"/>
      <c r="L178" s="93" t="s">
        <v>106</v>
      </c>
      <c r="M178" s="93"/>
      <c r="N178" s="132"/>
      <c r="O178" s="155"/>
      <c r="P178" s="155"/>
      <c r="Q178" s="125">
        <f>+Q179</f>
        <v>266000000</v>
      </c>
      <c r="R178" s="94">
        <f>+R179</f>
        <v>180200000</v>
      </c>
      <c r="S178" s="92"/>
      <c r="T178" s="95"/>
      <c r="U178" s="244"/>
      <c r="V178" s="300"/>
      <c r="W178" s="330"/>
      <c r="X178" s="94"/>
      <c r="Y178" s="94"/>
      <c r="Z178" s="354"/>
      <c r="AA178" s="354"/>
      <c r="AB178" s="354"/>
      <c r="AC178" s="354"/>
      <c r="AD178" s="354"/>
      <c r="AG178" s="273"/>
      <c r="AH178" s="273"/>
    </row>
    <row r="179" spans="2:34" ht="30" customHeight="1" x14ac:dyDescent="0.2">
      <c r="B179" s="11" t="s">
        <v>7</v>
      </c>
      <c r="C179" s="4" t="s">
        <v>20</v>
      </c>
      <c r="D179" s="4" t="s">
        <v>20</v>
      </c>
      <c r="E179" s="4" t="s">
        <v>20</v>
      </c>
      <c r="F179" s="4" t="s">
        <v>16</v>
      </c>
      <c r="G179" s="4" t="s">
        <v>15</v>
      </c>
      <c r="H179" s="4" t="s">
        <v>8</v>
      </c>
      <c r="I179" s="4"/>
      <c r="J179" s="197"/>
      <c r="K179" s="11"/>
      <c r="L179" s="6" t="s">
        <v>107</v>
      </c>
      <c r="M179" s="6"/>
      <c r="N179" s="133"/>
      <c r="O179" s="156"/>
      <c r="P179" s="156"/>
      <c r="Q179" s="125">
        <f>+Q180+Q182+Q189</f>
        <v>266000000</v>
      </c>
      <c r="R179" s="5">
        <f>+R180+R182+R189</f>
        <v>180200000</v>
      </c>
      <c r="S179" s="181"/>
      <c r="T179" s="9"/>
      <c r="U179" s="245"/>
      <c r="V179" s="301"/>
      <c r="W179" s="331"/>
      <c r="X179" s="5"/>
      <c r="Y179" s="5"/>
      <c r="Z179" s="355"/>
      <c r="AA179" s="355"/>
      <c r="AB179" s="355"/>
      <c r="AC179" s="355"/>
      <c r="AD179" s="355"/>
      <c r="AG179" s="273"/>
      <c r="AH179" s="273"/>
    </row>
    <row r="180" spans="2:34" ht="30" customHeight="1" x14ac:dyDescent="0.2">
      <c r="B180" s="11" t="s">
        <v>7</v>
      </c>
      <c r="C180" s="4" t="s">
        <v>20</v>
      </c>
      <c r="D180" s="4" t="s">
        <v>20</v>
      </c>
      <c r="E180" s="4" t="s">
        <v>20</v>
      </c>
      <c r="F180" s="4" t="s">
        <v>16</v>
      </c>
      <c r="G180" s="4" t="s">
        <v>15</v>
      </c>
      <c r="H180" s="4" t="s">
        <v>8</v>
      </c>
      <c r="I180" s="4" t="s">
        <v>32</v>
      </c>
      <c r="J180" s="197"/>
      <c r="K180" s="11"/>
      <c r="L180" s="6" t="s">
        <v>136</v>
      </c>
      <c r="M180" s="6"/>
      <c r="N180" s="133"/>
      <c r="O180" s="156"/>
      <c r="P180" s="156"/>
      <c r="Q180" s="125">
        <f>80000000+35000000</f>
        <v>115000000</v>
      </c>
      <c r="R180" s="5">
        <f>SUM(R181:R181)</f>
        <v>80000000</v>
      </c>
      <c r="S180" s="181"/>
      <c r="T180" s="9"/>
      <c r="U180" s="245"/>
      <c r="V180" s="301"/>
      <c r="W180" s="331"/>
      <c r="X180" s="5"/>
      <c r="Y180" s="5"/>
      <c r="Z180" s="355"/>
      <c r="AA180" s="355"/>
      <c r="AB180" s="355"/>
      <c r="AC180" s="355"/>
      <c r="AD180" s="355"/>
      <c r="AG180" s="273"/>
      <c r="AH180" s="273"/>
    </row>
    <row r="181" spans="2:34" ht="60" customHeight="1" x14ac:dyDescent="0.2">
      <c r="B181" s="623"/>
      <c r="C181" s="624"/>
      <c r="D181" s="624"/>
      <c r="E181" s="624"/>
      <c r="F181" s="624"/>
      <c r="G181" s="624"/>
      <c r="H181" s="624"/>
      <c r="I181" s="624"/>
      <c r="J181" s="624"/>
      <c r="K181" s="177" t="s">
        <v>310</v>
      </c>
      <c r="L181" s="100" t="s">
        <v>309</v>
      </c>
      <c r="M181" s="134">
        <v>43834</v>
      </c>
      <c r="N181" s="134">
        <v>43876</v>
      </c>
      <c r="O181" s="157" t="s">
        <v>362</v>
      </c>
      <c r="P181" s="157" t="s">
        <v>319</v>
      </c>
      <c r="Q181" s="125"/>
      <c r="R181" s="101">
        <v>80000000</v>
      </c>
      <c r="S181" s="182" t="s">
        <v>386</v>
      </c>
      <c r="T181" s="102"/>
      <c r="U181" s="253" t="s">
        <v>181</v>
      </c>
      <c r="V181" s="302">
        <v>15820</v>
      </c>
      <c r="W181" s="332">
        <v>43887</v>
      </c>
      <c r="X181" s="174">
        <v>80000000</v>
      </c>
      <c r="Y181" s="174">
        <v>80000000</v>
      </c>
      <c r="Z181" s="352">
        <v>0</v>
      </c>
      <c r="AA181" s="352">
        <f>+R181-Y181</f>
        <v>0</v>
      </c>
      <c r="AB181" s="352">
        <f>+Z181-AA181</f>
        <v>0</v>
      </c>
      <c r="AC181" s="352" t="str">
        <f>IF(Z181=0,"0",IF(Z181&gt;0,Y181-Z181,))</f>
        <v>0</v>
      </c>
      <c r="AD181" s="352">
        <f>+R181+-Y181+AB181</f>
        <v>0</v>
      </c>
      <c r="AG181" s="273"/>
      <c r="AH181" s="273"/>
    </row>
    <row r="182" spans="2:34" ht="30" customHeight="1" x14ac:dyDescent="0.2">
      <c r="B182" s="11" t="s">
        <v>7</v>
      </c>
      <c r="C182" s="4" t="s">
        <v>20</v>
      </c>
      <c r="D182" s="4" t="s">
        <v>20</v>
      </c>
      <c r="E182" s="4" t="s">
        <v>20</v>
      </c>
      <c r="F182" s="4" t="s">
        <v>16</v>
      </c>
      <c r="G182" s="4" t="s">
        <v>15</v>
      </c>
      <c r="H182" s="4" t="s">
        <v>8</v>
      </c>
      <c r="I182" s="4" t="s">
        <v>33</v>
      </c>
      <c r="J182" s="197"/>
      <c r="K182" s="11"/>
      <c r="L182" s="6" t="s">
        <v>137</v>
      </c>
      <c r="M182" s="6"/>
      <c r="N182" s="133"/>
      <c r="O182" s="156"/>
      <c r="P182" s="156"/>
      <c r="Q182" s="125">
        <v>91000000</v>
      </c>
      <c r="R182" s="5">
        <f>SUM(R183:R188)</f>
        <v>97000000</v>
      </c>
      <c r="S182" s="181"/>
      <c r="T182" s="9"/>
      <c r="U182" s="245"/>
      <c r="V182" s="301"/>
      <c r="W182" s="331"/>
      <c r="X182" s="5"/>
      <c r="Y182" s="5"/>
      <c r="Z182" s="355"/>
      <c r="AA182" s="355"/>
      <c r="AB182" s="355"/>
      <c r="AC182" s="355"/>
      <c r="AD182" s="355"/>
      <c r="AG182" s="273"/>
      <c r="AH182" s="273"/>
    </row>
    <row r="183" spans="2:34" ht="72" customHeight="1" x14ac:dyDescent="0.2">
      <c r="B183" s="623"/>
      <c r="C183" s="624"/>
      <c r="D183" s="624"/>
      <c r="E183" s="624"/>
      <c r="F183" s="624"/>
      <c r="G183" s="624"/>
      <c r="H183" s="624"/>
      <c r="I183" s="624"/>
      <c r="J183" s="624"/>
      <c r="K183" s="176" t="s">
        <v>315</v>
      </c>
      <c r="L183" s="179" t="s">
        <v>320</v>
      </c>
      <c r="M183" s="179"/>
      <c r="N183" s="135">
        <v>43983</v>
      </c>
      <c r="O183" s="158" t="s">
        <v>296</v>
      </c>
      <c r="P183" s="158"/>
      <c r="Q183" s="125"/>
      <c r="R183" s="391">
        <v>5869231</v>
      </c>
      <c r="S183" s="184"/>
      <c r="T183" s="112"/>
      <c r="U183" s="254" t="s">
        <v>221</v>
      </c>
      <c r="V183" s="302">
        <v>3320</v>
      </c>
      <c r="W183" s="332">
        <v>43844</v>
      </c>
      <c r="X183" s="174">
        <v>152600000</v>
      </c>
      <c r="Y183" s="174">
        <v>152600000</v>
      </c>
      <c r="Z183" s="352">
        <v>152600000</v>
      </c>
      <c r="AA183" s="352">
        <f t="shared" ref="AA183:AA188" si="11">+R183-Y183</f>
        <v>-146730769</v>
      </c>
      <c r="AB183" s="352">
        <f t="shared" ref="AB183:AB188" si="12">+Z183-AA183</f>
        <v>299330769</v>
      </c>
      <c r="AC183" s="352">
        <f t="shared" ref="AC183:AC188" si="13">IF(Z183=0,"0",IF(Z183&gt;0,Y183-Z183,))</f>
        <v>0</v>
      </c>
      <c r="AD183" s="352">
        <f t="shared" ref="AD183:AD188" si="14">+R183+-Y183+AB183</f>
        <v>152600000</v>
      </c>
      <c r="AG183" s="273"/>
      <c r="AH183" s="273"/>
    </row>
    <row r="184" spans="2:34" ht="72" customHeight="1" x14ac:dyDescent="0.2">
      <c r="B184" s="625"/>
      <c r="C184" s="626"/>
      <c r="D184" s="626"/>
      <c r="E184" s="626"/>
      <c r="F184" s="626"/>
      <c r="G184" s="626"/>
      <c r="H184" s="626"/>
      <c r="I184" s="626"/>
      <c r="J184" s="626"/>
      <c r="K184" s="177" t="s">
        <v>315</v>
      </c>
      <c r="L184" s="178" t="s">
        <v>321</v>
      </c>
      <c r="M184" s="134">
        <v>43952</v>
      </c>
      <c r="N184" s="134">
        <v>43983</v>
      </c>
      <c r="O184" s="157" t="s">
        <v>301</v>
      </c>
      <c r="P184" s="157" t="s">
        <v>317</v>
      </c>
      <c r="Q184" s="125"/>
      <c r="R184" s="101">
        <v>4192769</v>
      </c>
      <c r="S184" s="182" t="s">
        <v>322</v>
      </c>
      <c r="T184" s="101">
        <v>10062700</v>
      </c>
      <c r="U184" s="253" t="s">
        <v>221</v>
      </c>
      <c r="V184" s="302"/>
      <c r="W184" s="332"/>
      <c r="X184" s="174"/>
      <c r="Y184" s="174"/>
      <c r="Z184" s="352"/>
      <c r="AA184" s="352">
        <f t="shared" si="11"/>
        <v>4192769</v>
      </c>
      <c r="AB184" s="352">
        <f t="shared" si="12"/>
        <v>-4192769</v>
      </c>
      <c r="AC184" s="352" t="str">
        <f t="shared" si="13"/>
        <v>0</v>
      </c>
      <c r="AD184" s="352">
        <f t="shared" si="14"/>
        <v>0</v>
      </c>
      <c r="AG184" s="273"/>
      <c r="AH184" s="273"/>
    </row>
    <row r="185" spans="2:34" ht="72" customHeight="1" x14ac:dyDescent="0.2">
      <c r="B185" s="625"/>
      <c r="C185" s="626"/>
      <c r="D185" s="626"/>
      <c r="E185" s="626"/>
      <c r="F185" s="626"/>
      <c r="G185" s="626"/>
      <c r="H185" s="626"/>
      <c r="I185" s="626"/>
      <c r="J185" s="626"/>
      <c r="K185" s="176" t="s">
        <v>316</v>
      </c>
      <c r="L185" s="110" t="s">
        <v>224</v>
      </c>
      <c r="M185" s="110"/>
      <c r="N185" s="135">
        <v>43983</v>
      </c>
      <c r="O185" s="158" t="s">
        <v>296</v>
      </c>
      <c r="P185" s="158"/>
      <c r="Q185" s="125"/>
      <c r="R185" s="111">
        <v>3500000</v>
      </c>
      <c r="S185" s="184"/>
      <c r="T185" s="111"/>
      <c r="U185" s="254" t="s">
        <v>221</v>
      </c>
      <c r="V185" s="302">
        <v>3920</v>
      </c>
      <c r="W185" s="332">
        <v>43844</v>
      </c>
      <c r="X185" s="174">
        <v>3500000</v>
      </c>
      <c r="Y185" s="174">
        <v>3500000</v>
      </c>
      <c r="Z185" s="352">
        <v>3500000</v>
      </c>
      <c r="AA185" s="352">
        <f t="shared" si="11"/>
        <v>0</v>
      </c>
      <c r="AB185" s="352">
        <f t="shared" si="12"/>
        <v>3500000</v>
      </c>
      <c r="AC185" s="352">
        <f t="shared" si="13"/>
        <v>0</v>
      </c>
      <c r="AD185" s="352">
        <f t="shared" si="14"/>
        <v>3500000</v>
      </c>
      <c r="AG185" s="273"/>
      <c r="AH185" s="273"/>
    </row>
    <row r="186" spans="2:34" ht="72" customHeight="1" x14ac:dyDescent="0.2">
      <c r="B186" s="625"/>
      <c r="C186" s="626"/>
      <c r="D186" s="626"/>
      <c r="E186" s="626"/>
      <c r="F186" s="626"/>
      <c r="G186" s="626"/>
      <c r="H186" s="626"/>
      <c r="I186" s="626"/>
      <c r="J186" s="626"/>
      <c r="K186" s="177" t="s">
        <v>316</v>
      </c>
      <c r="L186" s="100" t="s">
        <v>202</v>
      </c>
      <c r="M186" s="134">
        <v>43952</v>
      </c>
      <c r="N186" s="134">
        <v>43983</v>
      </c>
      <c r="O186" s="157" t="s">
        <v>301</v>
      </c>
      <c r="P186" s="157" t="s">
        <v>319</v>
      </c>
      <c r="Q186" s="125"/>
      <c r="R186" s="101">
        <v>2500000</v>
      </c>
      <c r="S186" s="182" t="s">
        <v>322</v>
      </c>
      <c r="T186" s="101">
        <v>6000000</v>
      </c>
      <c r="U186" s="253" t="s">
        <v>221</v>
      </c>
      <c r="V186" s="302">
        <v>27420</v>
      </c>
      <c r="W186" s="332">
        <v>43962</v>
      </c>
      <c r="X186" s="174">
        <v>2500000</v>
      </c>
      <c r="Y186" s="174">
        <v>2500000</v>
      </c>
      <c r="Z186" s="352">
        <v>0</v>
      </c>
      <c r="AA186" s="352">
        <f t="shared" si="11"/>
        <v>0</v>
      </c>
      <c r="AB186" s="352">
        <f t="shared" si="12"/>
        <v>0</v>
      </c>
      <c r="AC186" s="352" t="str">
        <f t="shared" si="13"/>
        <v>0</v>
      </c>
      <c r="AD186" s="352">
        <f t="shared" si="14"/>
        <v>0</v>
      </c>
      <c r="AG186" s="273"/>
      <c r="AH186" s="273"/>
    </row>
    <row r="187" spans="2:34" ht="72" customHeight="1" x14ac:dyDescent="0.2">
      <c r="B187" s="625"/>
      <c r="C187" s="626"/>
      <c r="D187" s="626"/>
      <c r="E187" s="626"/>
      <c r="F187" s="626"/>
      <c r="G187" s="626"/>
      <c r="H187" s="626"/>
      <c r="I187" s="626"/>
      <c r="J187" s="626"/>
      <c r="K187" s="177">
        <v>72154100</v>
      </c>
      <c r="L187" s="100" t="s">
        <v>431</v>
      </c>
      <c r="M187" s="134"/>
      <c r="N187" s="134">
        <v>43937</v>
      </c>
      <c r="O187" s="157" t="s">
        <v>326</v>
      </c>
      <c r="P187" s="157" t="s">
        <v>317</v>
      </c>
      <c r="Q187" s="125"/>
      <c r="R187" s="101">
        <v>6000000</v>
      </c>
      <c r="S187" s="182"/>
      <c r="T187" s="101"/>
      <c r="U187" s="253"/>
      <c r="V187" s="302">
        <v>19220</v>
      </c>
      <c r="W187" s="332">
        <v>43899</v>
      </c>
      <c r="X187" s="174">
        <v>6000000</v>
      </c>
      <c r="Y187" s="174">
        <v>6000000</v>
      </c>
      <c r="Z187" s="352">
        <v>0</v>
      </c>
      <c r="AA187" s="352">
        <f t="shared" si="11"/>
        <v>0</v>
      </c>
      <c r="AB187" s="352">
        <f t="shared" si="12"/>
        <v>0</v>
      </c>
      <c r="AC187" s="352" t="str">
        <f t="shared" si="13"/>
        <v>0</v>
      </c>
      <c r="AD187" s="352">
        <f t="shared" si="14"/>
        <v>0</v>
      </c>
      <c r="AG187" s="273"/>
      <c r="AH187" s="273"/>
    </row>
    <row r="188" spans="2:34" ht="72" customHeight="1" x14ac:dyDescent="0.2">
      <c r="B188" s="625"/>
      <c r="C188" s="626"/>
      <c r="D188" s="626"/>
      <c r="E188" s="626"/>
      <c r="F188" s="626"/>
      <c r="G188" s="626"/>
      <c r="H188" s="626"/>
      <c r="I188" s="626"/>
      <c r="J188" s="626"/>
      <c r="K188" s="177" t="s">
        <v>385</v>
      </c>
      <c r="L188" s="178" t="s">
        <v>265</v>
      </c>
      <c r="M188" s="134">
        <v>43469</v>
      </c>
      <c r="N188" s="134">
        <v>43840</v>
      </c>
      <c r="O188" s="157" t="s">
        <v>381</v>
      </c>
      <c r="P188" s="157" t="s">
        <v>319</v>
      </c>
      <c r="Q188" s="125"/>
      <c r="R188" s="101">
        <v>74938000</v>
      </c>
      <c r="S188" s="182" t="s">
        <v>386</v>
      </c>
      <c r="T188" s="102"/>
      <c r="U188" s="257" t="s">
        <v>270</v>
      </c>
      <c r="V188" s="302">
        <v>2320</v>
      </c>
      <c r="W188" s="332">
        <v>43838</v>
      </c>
      <c r="X188" s="174">
        <v>74938000</v>
      </c>
      <c r="Y188" s="174">
        <v>74938000</v>
      </c>
      <c r="Z188" s="352">
        <v>74938000</v>
      </c>
      <c r="AA188" s="352">
        <f t="shared" si="11"/>
        <v>0</v>
      </c>
      <c r="AB188" s="352">
        <f t="shared" si="12"/>
        <v>74938000</v>
      </c>
      <c r="AC188" s="352">
        <f t="shared" si="13"/>
        <v>0</v>
      </c>
      <c r="AD188" s="352">
        <f t="shared" si="14"/>
        <v>74938000</v>
      </c>
      <c r="AG188" s="273"/>
      <c r="AH188" s="273"/>
    </row>
    <row r="189" spans="2:34" ht="30" customHeight="1" x14ac:dyDescent="0.2">
      <c r="B189" s="11" t="s">
        <v>7</v>
      </c>
      <c r="C189" s="4" t="s">
        <v>20</v>
      </c>
      <c r="D189" s="4" t="s">
        <v>20</v>
      </c>
      <c r="E189" s="4" t="s">
        <v>20</v>
      </c>
      <c r="F189" s="4" t="s">
        <v>16</v>
      </c>
      <c r="G189" s="4" t="s">
        <v>15</v>
      </c>
      <c r="H189" s="4" t="s">
        <v>8</v>
      </c>
      <c r="I189" s="4" t="s">
        <v>34</v>
      </c>
      <c r="J189" s="197"/>
      <c r="K189" s="11"/>
      <c r="L189" s="189" t="s">
        <v>108</v>
      </c>
      <c r="M189" s="189"/>
      <c r="N189" s="133"/>
      <c r="O189" s="156"/>
      <c r="P189" s="156"/>
      <c r="Q189" s="125">
        <v>60000000</v>
      </c>
      <c r="R189" s="5">
        <f>SUM(R190:R190)</f>
        <v>3200000</v>
      </c>
      <c r="S189" s="181"/>
      <c r="T189" s="9"/>
      <c r="U189" s="245"/>
      <c r="V189" s="301"/>
      <c r="W189" s="331"/>
      <c r="X189" s="5"/>
      <c r="Y189" s="5"/>
      <c r="Z189" s="355"/>
      <c r="AA189" s="355"/>
      <c r="AB189" s="355"/>
      <c r="AC189" s="355"/>
      <c r="AD189" s="355"/>
      <c r="AG189" s="273"/>
      <c r="AH189" s="273"/>
    </row>
    <row r="190" spans="2:34" ht="75" customHeight="1" x14ac:dyDescent="0.2">
      <c r="B190" s="625"/>
      <c r="C190" s="626"/>
      <c r="D190" s="626"/>
      <c r="E190" s="626"/>
      <c r="F190" s="626"/>
      <c r="G190" s="626"/>
      <c r="H190" s="626"/>
      <c r="I190" s="626"/>
      <c r="J190" s="626"/>
      <c r="K190" s="113"/>
      <c r="L190" s="114" t="s">
        <v>266</v>
      </c>
      <c r="M190" s="114"/>
      <c r="N190" s="137"/>
      <c r="O190" s="160"/>
      <c r="P190" s="160"/>
      <c r="Q190" s="125"/>
      <c r="R190" s="115">
        <v>3200000</v>
      </c>
      <c r="S190" s="187"/>
      <c r="T190" s="116"/>
      <c r="U190" s="256"/>
      <c r="V190" s="302" t="s">
        <v>436</v>
      </c>
      <c r="W190" s="332" t="s">
        <v>444</v>
      </c>
      <c r="X190" s="174">
        <f>800000+800000+522948+33132+105420</f>
        <v>2261500</v>
      </c>
      <c r="Y190" s="174">
        <f>800000+800000+522948+33132+105420</f>
        <v>2261500</v>
      </c>
      <c r="Z190" s="352"/>
      <c r="AA190" s="352">
        <f>+R190-Y190</f>
        <v>938500</v>
      </c>
      <c r="AB190" s="352">
        <f>+Z190-AA190</f>
        <v>-938500</v>
      </c>
      <c r="AC190" s="352" t="str">
        <f>IF(Z190=0,"0",IF(Z190&gt;0,Y190-Z190,))</f>
        <v>0</v>
      </c>
      <c r="AD190" s="352">
        <f>+R190+-Y190+AB190</f>
        <v>0</v>
      </c>
      <c r="AG190" s="273"/>
      <c r="AH190" s="273"/>
    </row>
    <row r="191" spans="2:34" ht="15" customHeight="1" x14ac:dyDescent="0.2">
      <c r="B191" s="13" t="s">
        <v>7</v>
      </c>
      <c r="C191" s="14" t="s">
        <v>20</v>
      </c>
      <c r="D191" s="14" t="s">
        <v>20</v>
      </c>
      <c r="E191" s="14" t="s">
        <v>20</v>
      </c>
      <c r="F191" s="14" t="s">
        <v>17</v>
      </c>
      <c r="G191" s="14"/>
      <c r="H191" s="14"/>
      <c r="I191" s="14"/>
      <c r="J191" s="195"/>
      <c r="K191" s="13"/>
      <c r="L191" s="15" t="s">
        <v>111</v>
      </c>
      <c r="M191" s="15"/>
      <c r="N191" s="131"/>
      <c r="O191" s="154"/>
      <c r="P191" s="154"/>
      <c r="Q191" s="125">
        <f>+Q192+Q206+Q200+Q203</f>
        <v>502000000</v>
      </c>
      <c r="R191" s="16">
        <f>+R192+R206+R200+R203</f>
        <v>386000000</v>
      </c>
      <c r="S191" s="14"/>
      <c r="T191" s="17"/>
      <c r="U191" s="252"/>
      <c r="V191" s="299"/>
      <c r="W191" s="329"/>
      <c r="X191" s="16"/>
      <c r="Y191" s="16"/>
      <c r="Z191" s="353"/>
      <c r="AA191" s="353"/>
      <c r="AB191" s="353"/>
      <c r="AC191" s="353"/>
      <c r="AD191" s="353"/>
      <c r="AG191" s="273"/>
      <c r="AH191" s="273"/>
    </row>
    <row r="192" spans="2:34" ht="15" customHeight="1" x14ac:dyDescent="0.2">
      <c r="B192" s="91" t="s">
        <v>7</v>
      </c>
      <c r="C192" s="92" t="s">
        <v>20</v>
      </c>
      <c r="D192" s="92" t="s">
        <v>20</v>
      </c>
      <c r="E192" s="92" t="s">
        <v>20</v>
      </c>
      <c r="F192" s="92" t="s">
        <v>17</v>
      </c>
      <c r="G192" s="92" t="s">
        <v>10</v>
      </c>
      <c r="H192" s="92"/>
      <c r="I192" s="92"/>
      <c r="J192" s="196"/>
      <c r="K192" s="91"/>
      <c r="L192" s="93" t="s">
        <v>112</v>
      </c>
      <c r="M192" s="93"/>
      <c r="N192" s="132"/>
      <c r="O192" s="155"/>
      <c r="P192" s="155"/>
      <c r="Q192" s="125">
        <f>+Q193</f>
        <v>148000000</v>
      </c>
      <c r="R192" s="94">
        <f>+R193</f>
        <v>127000000</v>
      </c>
      <c r="S192" s="92"/>
      <c r="T192" s="95"/>
      <c r="U192" s="244"/>
      <c r="V192" s="300"/>
      <c r="W192" s="330"/>
      <c r="X192" s="94"/>
      <c r="Y192" s="94"/>
      <c r="Z192" s="354"/>
      <c r="AA192" s="354"/>
      <c r="AB192" s="354"/>
      <c r="AC192" s="354"/>
      <c r="AD192" s="354"/>
      <c r="AG192" s="273"/>
      <c r="AH192" s="273"/>
    </row>
    <row r="193" spans="2:34" ht="15" customHeight="1" x14ac:dyDescent="0.2">
      <c r="B193" s="11" t="s">
        <v>7</v>
      </c>
      <c r="C193" s="4" t="s">
        <v>20</v>
      </c>
      <c r="D193" s="4" t="s">
        <v>20</v>
      </c>
      <c r="E193" s="4" t="s">
        <v>20</v>
      </c>
      <c r="F193" s="4" t="s">
        <v>17</v>
      </c>
      <c r="G193" s="4" t="s">
        <v>10</v>
      </c>
      <c r="H193" s="4" t="s">
        <v>31</v>
      </c>
      <c r="I193" s="4"/>
      <c r="J193" s="197"/>
      <c r="K193" s="11"/>
      <c r="L193" s="6" t="s">
        <v>113</v>
      </c>
      <c r="M193" s="6"/>
      <c r="N193" s="133"/>
      <c r="O193" s="156"/>
      <c r="P193" s="156"/>
      <c r="Q193" s="125">
        <v>148000000</v>
      </c>
      <c r="R193" s="5">
        <f>SUM(R194:R199)</f>
        <v>127000000</v>
      </c>
      <c r="S193" s="181"/>
      <c r="T193" s="9"/>
      <c r="U193" s="245"/>
      <c r="V193" s="301"/>
      <c r="W193" s="331"/>
      <c r="X193" s="5"/>
      <c r="Y193" s="5"/>
      <c r="Z193" s="355"/>
      <c r="AA193" s="355"/>
      <c r="AB193" s="355"/>
      <c r="AC193" s="355"/>
      <c r="AD193" s="355"/>
      <c r="AG193" s="273"/>
      <c r="AH193" s="273"/>
    </row>
    <row r="194" spans="2:34" ht="30" customHeight="1" x14ac:dyDescent="0.2">
      <c r="B194" s="623"/>
      <c r="C194" s="624"/>
      <c r="D194" s="624"/>
      <c r="E194" s="624"/>
      <c r="F194" s="624"/>
      <c r="G194" s="624"/>
      <c r="H194" s="624"/>
      <c r="I194" s="624"/>
      <c r="J194" s="624"/>
      <c r="K194" s="99"/>
      <c r="L194" s="378" t="s">
        <v>190</v>
      </c>
      <c r="M194" s="134">
        <v>43866</v>
      </c>
      <c r="N194" s="134">
        <v>43895</v>
      </c>
      <c r="O194" s="157" t="s">
        <v>326</v>
      </c>
      <c r="P194" s="157" t="s">
        <v>338</v>
      </c>
      <c r="Q194" s="125"/>
      <c r="R194" s="101">
        <f>100000000-6000000</f>
        <v>94000000</v>
      </c>
      <c r="S194" s="182" t="s">
        <v>386</v>
      </c>
      <c r="T194" s="102"/>
      <c r="U194" s="253" t="s">
        <v>194</v>
      </c>
      <c r="V194" s="302"/>
      <c r="W194" s="332"/>
      <c r="X194" s="174"/>
      <c r="Y194" s="174"/>
      <c r="Z194" s="352"/>
      <c r="AA194" s="352">
        <f t="shared" ref="AA194:AA199" si="15">+R194-Y194</f>
        <v>94000000</v>
      </c>
      <c r="AB194" s="352">
        <f t="shared" ref="AB194:AB199" si="16">+Z194-AA194</f>
        <v>-94000000</v>
      </c>
      <c r="AC194" s="352" t="str">
        <f t="shared" ref="AC194:AC199" si="17">IF(Z194=0,"0",IF(Z194&gt;0,Y194-Z194,))</f>
        <v>0</v>
      </c>
      <c r="AD194" s="352">
        <f t="shared" ref="AD194:AD199" si="18">+R194+-Y194+AB194</f>
        <v>0</v>
      </c>
      <c r="AG194" s="273"/>
      <c r="AH194" s="273"/>
    </row>
    <row r="195" spans="2:34" ht="15" customHeight="1" x14ac:dyDescent="0.2">
      <c r="B195" s="625"/>
      <c r="C195" s="626"/>
      <c r="D195" s="626"/>
      <c r="E195" s="626"/>
      <c r="F195" s="626"/>
      <c r="G195" s="626"/>
      <c r="H195" s="626"/>
      <c r="I195" s="626"/>
      <c r="J195" s="626"/>
      <c r="K195" s="99"/>
      <c r="L195" s="178" t="s">
        <v>191</v>
      </c>
      <c r="M195" s="178"/>
      <c r="N195" s="134">
        <v>43840</v>
      </c>
      <c r="O195" s="157" t="s">
        <v>375</v>
      </c>
      <c r="P195" s="157" t="s">
        <v>375</v>
      </c>
      <c r="Q195" s="125"/>
      <c r="R195" s="101">
        <v>15000000</v>
      </c>
      <c r="S195" s="182" t="s">
        <v>386</v>
      </c>
      <c r="T195" s="102"/>
      <c r="U195" s="253" t="s">
        <v>194</v>
      </c>
      <c r="V195" s="302"/>
      <c r="W195" s="332"/>
      <c r="X195" s="174"/>
      <c r="Y195" s="174"/>
      <c r="Z195" s="352"/>
      <c r="AA195" s="352">
        <f t="shared" si="15"/>
        <v>15000000</v>
      </c>
      <c r="AB195" s="352">
        <f t="shared" si="16"/>
        <v>-15000000</v>
      </c>
      <c r="AC195" s="352" t="str">
        <f t="shared" si="17"/>
        <v>0</v>
      </c>
      <c r="AD195" s="352">
        <f t="shared" si="18"/>
        <v>0</v>
      </c>
      <c r="AG195" s="273"/>
      <c r="AH195" s="273"/>
    </row>
    <row r="196" spans="2:34" ht="30" customHeight="1" x14ac:dyDescent="0.2">
      <c r="B196" s="625"/>
      <c r="C196" s="626"/>
      <c r="D196" s="626"/>
      <c r="E196" s="626"/>
      <c r="F196" s="626"/>
      <c r="G196" s="626"/>
      <c r="H196" s="626"/>
      <c r="I196" s="626"/>
      <c r="J196" s="626"/>
      <c r="K196" s="99"/>
      <c r="L196" s="178" t="s">
        <v>287</v>
      </c>
      <c r="M196" s="134">
        <v>43866</v>
      </c>
      <c r="N196" s="134">
        <v>43895</v>
      </c>
      <c r="O196" s="157" t="s">
        <v>294</v>
      </c>
      <c r="P196" s="157" t="s">
        <v>338</v>
      </c>
      <c r="Q196" s="125"/>
      <c r="R196" s="101">
        <v>3000000</v>
      </c>
      <c r="S196" s="182" t="s">
        <v>386</v>
      </c>
      <c r="T196" s="102"/>
      <c r="U196" s="253" t="s">
        <v>194</v>
      </c>
      <c r="V196" s="302"/>
      <c r="W196" s="332"/>
      <c r="X196" s="174"/>
      <c r="Y196" s="174"/>
      <c r="Z196" s="352"/>
      <c r="AA196" s="352">
        <f t="shared" si="15"/>
        <v>3000000</v>
      </c>
      <c r="AB196" s="352">
        <f t="shared" si="16"/>
        <v>-3000000</v>
      </c>
      <c r="AC196" s="352" t="str">
        <f t="shared" si="17"/>
        <v>0</v>
      </c>
      <c r="AD196" s="352">
        <f t="shared" si="18"/>
        <v>0</v>
      </c>
      <c r="AG196" s="273"/>
      <c r="AH196" s="273"/>
    </row>
    <row r="197" spans="2:34" ht="30" customHeight="1" x14ac:dyDescent="0.2">
      <c r="B197" s="625"/>
      <c r="C197" s="626"/>
      <c r="D197" s="626"/>
      <c r="E197" s="626"/>
      <c r="F197" s="626"/>
      <c r="G197" s="626"/>
      <c r="H197" s="626"/>
      <c r="I197" s="626"/>
      <c r="J197" s="626"/>
      <c r="K197" s="99"/>
      <c r="L197" s="178" t="s">
        <v>288</v>
      </c>
      <c r="M197" s="134">
        <v>43866</v>
      </c>
      <c r="N197" s="134">
        <v>43895</v>
      </c>
      <c r="O197" s="157" t="s">
        <v>294</v>
      </c>
      <c r="P197" s="157" t="s">
        <v>338</v>
      </c>
      <c r="Q197" s="125"/>
      <c r="R197" s="101">
        <v>4000000</v>
      </c>
      <c r="S197" s="182" t="s">
        <v>386</v>
      </c>
      <c r="T197" s="102"/>
      <c r="U197" s="253" t="s">
        <v>194</v>
      </c>
      <c r="V197" s="302"/>
      <c r="W197" s="332"/>
      <c r="X197" s="174"/>
      <c r="Y197" s="174"/>
      <c r="Z197" s="352"/>
      <c r="AA197" s="352">
        <f t="shared" si="15"/>
        <v>4000000</v>
      </c>
      <c r="AB197" s="352">
        <f t="shared" si="16"/>
        <v>-4000000</v>
      </c>
      <c r="AC197" s="352" t="str">
        <f t="shared" si="17"/>
        <v>0</v>
      </c>
      <c r="AD197" s="352">
        <f t="shared" si="18"/>
        <v>0</v>
      </c>
      <c r="AG197" s="273"/>
      <c r="AH197" s="273"/>
    </row>
    <row r="198" spans="2:34" ht="30" customHeight="1" x14ac:dyDescent="0.2">
      <c r="B198" s="625"/>
      <c r="C198" s="626"/>
      <c r="D198" s="626"/>
      <c r="E198" s="626"/>
      <c r="F198" s="626"/>
      <c r="G198" s="626"/>
      <c r="H198" s="626"/>
      <c r="I198" s="626"/>
      <c r="J198" s="626"/>
      <c r="K198" s="99"/>
      <c r="L198" s="178" t="s">
        <v>182</v>
      </c>
      <c r="M198" s="134">
        <v>43866</v>
      </c>
      <c r="N198" s="134">
        <v>43895</v>
      </c>
      <c r="O198" s="157" t="s">
        <v>294</v>
      </c>
      <c r="P198" s="157" t="s">
        <v>338</v>
      </c>
      <c r="Q198" s="125"/>
      <c r="R198" s="101">
        <v>3000000</v>
      </c>
      <c r="S198" s="182" t="s">
        <v>386</v>
      </c>
      <c r="T198" s="102"/>
      <c r="U198" s="253" t="s">
        <v>194</v>
      </c>
      <c r="V198" s="302"/>
      <c r="W198" s="332"/>
      <c r="X198" s="174"/>
      <c r="Y198" s="174"/>
      <c r="Z198" s="352"/>
      <c r="AA198" s="352">
        <f t="shared" si="15"/>
        <v>3000000</v>
      </c>
      <c r="AB198" s="352">
        <f t="shared" si="16"/>
        <v>-3000000</v>
      </c>
      <c r="AC198" s="352" t="str">
        <f t="shared" si="17"/>
        <v>0</v>
      </c>
      <c r="AD198" s="352">
        <f t="shared" si="18"/>
        <v>0</v>
      </c>
      <c r="AG198" s="273"/>
      <c r="AH198" s="273"/>
    </row>
    <row r="199" spans="2:34" ht="30" customHeight="1" x14ac:dyDescent="0.2">
      <c r="B199" s="625"/>
      <c r="C199" s="626"/>
      <c r="D199" s="626"/>
      <c r="E199" s="626"/>
      <c r="F199" s="626"/>
      <c r="G199" s="626"/>
      <c r="H199" s="626"/>
      <c r="I199" s="626"/>
      <c r="J199" s="626"/>
      <c r="K199" s="99"/>
      <c r="L199" s="178" t="s">
        <v>289</v>
      </c>
      <c r="M199" s="134">
        <v>43866</v>
      </c>
      <c r="N199" s="134">
        <v>43895</v>
      </c>
      <c r="O199" s="157" t="s">
        <v>294</v>
      </c>
      <c r="P199" s="157" t="s">
        <v>374</v>
      </c>
      <c r="Q199" s="125"/>
      <c r="R199" s="101">
        <v>8000000</v>
      </c>
      <c r="S199" s="182" t="s">
        <v>386</v>
      </c>
      <c r="T199" s="102"/>
      <c r="U199" s="253" t="s">
        <v>269</v>
      </c>
      <c r="V199" s="302"/>
      <c r="W199" s="332"/>
      <c r="X199" s="174"/>
      <c r="Y199" s="174"/>
      <c r="Z199" s="352"/>
      <c r="AA199" s="352">
        <f t="shared" si="15"/>
        <v>8000000</v>
      </c>
      <c r="AB199" s="352">
        <f t="shared" si="16"/>
        <v>-8000000</v>
      </c>
      <c r="AC199" s="352" t="str">
        <f t="shared" si="17"/>
        <v>0</v>
      </c>
      <c r="AD199" s="352">
        <f t="shared" si="18"/>
        <v>0</v>
      </c>
      <c r="AG199" s="273"/>
      <c r="AH199" s="273"/>
    </row>
    <row r="200" spans="2:34" ht="19.5" customHeight="1" x14ac:dyDescent="0.2">
      <c r="B200" s="91" t="s">
        <v>7</v>
      </c>
      <c r="C200" s="92" t="s">
        <v>20</v>
      </c>
      <c r="D200" s="92" t="s">
        <v>20</v>
      </c>
      <c r="E200" s="92" t="s">
        <v>20</v>
      </c>
      <c r="F200" s="92" t="s">
        <v>17</v>
      </c>
      <c r="G200" s="92" t="s">
        <v>11</v>
      </c>
      <c r="H200" s="92"/>
      <c r="I200" s="92"/>
      <c r="J200" s="196"/>
      <c r="K200" s="91"/>
      <c r="L200" s="93" t="s">
        <v>144</v>
      </c>
      <c r="M200" s="93"/>
      <c r="N200" s="132"/>
      <c r="O200" s="155"/>
      <c r="P200" s="155"/>
      <c r="Q200" s="125">
        <f>+Q201</f>
        <v>30000000</v>
      </c>
      <c r="R200" s="94">
        <f>+R201</f>
        <v>27000000</v>
      </c>
      <c r="S200" s="92"/>
      <c r="T200" s="95"/>
      <c r="U200" s="244"/>
      <c r="V200" s="300"/>
      <c r="W200" s="330"/>
      <c r="X200" s="94"/>
      <c r="Y200" s="94"/>
      <c r="Z200" s="354"/>
      <c r="AA200" s="354"/>
      <c r="AB200" s="354"/>
      <c r="AC200" s="354"/>
      <c r="AD200" s="354"/>
      <c r="AG200" s="273"/>
      <c r="AH200" s="273"/>
    </row>
    <row r="201" spans="2:34" ht="15" customHeight="1" x14ac:dyDescent="0.2">
      <c r="B201" s="11" t="s">
        <v>7</v>
      </c>
      <c r="C201" s="4" t="s">
        <v>20</v>
      </c>
      <c r="D201" s="4" t="s">
        <v>20</v>
      </c>
      <c r="E201" s="4" t="s">
        <v>20</v>
      </c>
      <c r="F201" s="4" t="s">
        <v>17</v>
      </c>
      <c r="G201" s="4" t="s">
        <v>11</v>
      </c>
      <c r="H201" s="4" t="s">
        <v>8</v>
      </c>
      <c r="I201" s="4"/>
      <c r="J201" s="197"/>
      <c r="K201" s="11"/>
      <c r="L201" s="6" t="s">
        <v>145</v>
      </c>
      <c r="M201" s="6"/>
      <c r="N201" s="133"/>
      <c r="O201" s="156"/>
      <c r="P201" s="156"/>
      <c r="Q201" s="125">
        <v>30000000</v>
      </c>
      <c r="R201" s="5">
        <f>SUM(R202:R202)</f>
        <v>27000000</v>
      </c>
      <c r="S201" s="181"/>
      <c r="T201" s="9"/>
      <c r="U201" s="245"/>
      <c r="V201" s="301"/>
      <c r="W201" s="331"/>
      <c r="X201" s="5"/>
      <c r="Y201" s="5"/>
      <c r="Z201" s="355"/>
      <c r="AA201" s="355"/>
      <c r="AB201" s="355"/>
      <c r="AC201" s="355"/>
      <c r="AD201" s="355"/>
      <c r="AG201" s="273"/>
      <c r="AH201" s="273"/>
    </row>
    <row r="202" spans="2:34" ht="15" customHeight="1" x14ac:dyDescent="0.2">
      <c r="B202" s="623"/>
      <c r="C202" s="624"/>
      <c r="D202" s="624"/>
      <c r="E202" s="624"/>
      <c r="F202" s="624"/>
      <c r="G202" s="624"/>
      <c r="H202" s="624"/>
      <c r="I202" s="624"/>
      <c r="J202" s="624"/>
      <c r="K202" s="99"/>
      <c r="L202" s="100" t="s">
        <v>196</v>
      </c>
      <c r="M202" s="134">
        <v>43895</v>
      </c>
      <c r="N202" s="134">
        <v>43955</v>
      </c>
      <c r="O202" s="157" t="s">
        <v>326</v>
      </c>
      <c r="P202" s="157" t="s">
        <v>318</v>
      </c>
      <c r="Q202" s="125"/>
      <c r="R202" s="101">
        <v>27000000</v>
      </c>
      <c r="S202" s="182" t="s">
        <v>386</v>
      </c>
      <c r="T202" s="102"/>
      <c r="U202" s="253" t="s">
        <v>194</v>
      </c>
      <c r="V202" s="302">
        <v>14920</v>
      </c>
      <c r="W202" s="332">
        <v>43886</v>
      </c>
      <c r="X202" s="174">
        <v>27000000</v>
      </c>
      <c r="Y202" s="174">
        <v>27000000</v>
      </c>
      <c r="Z202" s="352">
        <v>0</v>
      </c>
      <c r="AA202" s="352">
        <f>+R202-Y202</f>
        <v>0</v>
      </c>
      <c r="AB202" s="352">
        <f>+Z202-AA202</f>
        <v>0</v>
      </c>
      <c r="AC202" s="352" t="str">
        <f>IF(Z202=0,"0",IF(Z202&gt;0,Y202-Z202,))</f>
        <v>0</v>
      </c>
      <c r="AD202" s="352">
        <f>+R202+-Y202+AB202</f>
        <v>0</v>
      </c>
      <c r="AG202" s="273"/>
      <c r="AH202" s="273"/>
    </row>
    <row r="203" spans="2:34" ht="45" customHeight="1" x14ac:dyDescent="0.2">
      <c r="B203" s="91" t="s">
        <v>7</v>
      </c>
      <c r="C203" s="92" t="s">
        <v>20</v>
      </c>
      <c r="D203" s="92" t="s">
        <v>20</v>
      </c>
      <c r="E203" s="92" t="s">
        <v>20</v>
      </c>
      <c r="F203" s="92" t="s">
        <v>17</v>
      </c>
      <c r="G203" s="92" t="s">
        <v>12</v>
      </c>
      <c r="H203" s="92"/>
      <c r="I203" s="92"/>
      <c r="J203" s="196"/>
      <c r="K203" s="91"/>
      <c r="L203" s="93" t="s">
        <v>147</v>
      </c>
      <c r="M203" s="93"/>
      <c r="N203" s="132"/>
      <c r="O203" s="155"/>
      <c r="P203" s="155"/>
      <c r="Q203" s="125">
        <f>+Q204</f>
        <v>294000000</v>
      </c>
      <c r="R203" s="94">
        <f>+R204</f>
        <v>202000000</v>
      </c>
      <c r="S203" s="92"/>
      <c r="T203" s="95"/>
      <c r="U203" s="244"/>
      <c r="V203" s="300"/>
      <c r="W203" s="330"/>
      <c r="X203" s="94"/>
      <c r="Y203" s="94"/>
      <c r="Z203" s="354"/>
      <c r="AA203" s="354"/>
      <c r="AB203" s="354"/>
      <c r="AC203" s="354"/>
      <c r="AD203" s="354"/>
      <c r="AG203" s="273"/>
      <c r="AH203" s="273"/>
    </row>
    <row r="204" spans="2:34" ht="30" customHeight="1" x14ac:dyDescent="0.2">
      <c r="B204" s="11" t="s">
        <v>7</v>
      </c>
      <c r="C204" s="4" t="s">
        <v>20</v>
      </c>
      <c r="D204" s="4" t="s">
        <v>20</v>
      </c>
      <c r="E204" s="4" t="s">
        <v>20</v>
      </c>
      <c r="F204" s="4" t="s">
        <v>17</v>
      </c>
      <c r="G204" s="4" t="s">
        <v>12</v>
      </c>
      <c r="H204" s="4" t="s">
        <v>8</v>
      </c>
      <c r="I204" s="4"/>
      <c r="J204" s="197"/>
      <c r="K204" s="11"/>
      <c r="L204" s="6" t="s">
        <v>148</v>
      </c>
      <c r="M204" s="6"/>
      <c r="N204" s="136"/>
      <c r="O204" s="156"/>
      <c r="P204" s="156"/>
      <c r="Q204" s="125">
        <v>294000000</v>
      </c>
      <c r="R204" s="8">
        <f>SUM(R205:R205)</f>
        <v>202000000</v>
      </c>
      <c r="S204" s="181"/>
      <c r="T204" s="9"/>
      <c r="U204" s="245"/>
      <c r="V204" s="303"/>
      <c r="W204" s="333"/>
      <c r="X204" s="8"/>
      <c r="Y204" s="8"/>
      <c r="Z204" s="358"/>
      <c r="AA204" s="358"/>
      <c r="AB204" s="358"/>
      <c r="AC204" s="358"/>
      <c r="AD204" s="358"/>
      <c r="AG204" s="273"/>
      <c r="AH204" s="273"/>
    </row>
    <row r="205" spans="2:34" ht="34.5" customHeight="1" x14ac:dyDescent="0.2">
      <c r="B205" s="623"/>
      <c r="C205" s="624"/>
      <c r="D205" s="624"/>
      <c r="E205" s="624"/>
      <c r="F205" s="624"/>
      <c r="G205" s="624"/>
      <c r="H205" s="624"/>
      <c r="I205" s="624"/>
      <c r="J205" s="624"/>
      <c r="K205" s="99"/>
      <c r="L205" s="100" t="s">
        <v>273</v>
      </c>
      <c r="M205" s="157" t="s">
        <v>375</v>
      </c>
      <c r="N205" s="134">
        <v>43832</v>
      </c>
      <c r="O205" s="157" t="s">
        <v>301</v>
      </c>
      <c r="P205" s="157" t="s">
        <v>375</v>
      </c>
      <c r="Q205" s="125"/>
      <c r="R205" s="101">
        <f>294000000-92000000</f>
        <v>202000000</v>
      </c>
      <c r="S205" s="182" t="s">
        <v>386</v>
      </c>
      <c r="T205" s="102"/>
      <c r="U205" s="253" t="s">
        <v>271</v>
      </c>
      <c r="V205" s="302" t="s">
        <v>445</v>
      </c>
      <c r="W205" s="332" t="s">
        <v>427</v>
      </c>
      <c r="X205" s="174">
        <v>34873725</v>
      </c>
      <c r="Y205" s="174">
        <v>34873725</v>
      </c>
      <c r="Z205" s="352">
        <v>34873725</v>
      </c>
      <c r="AA205" s="352">
        <f>+R205-Y205</f>
        <v>167126275</v>
      </c>
      <c r="AB205" s="352">
        <f>+Z205-AA205</f>
        <v>-132252550</v>
      </c>
      <c r="AC205" s="352">
        <f>IF(Z205=0,"0",IF(Z205&gt;0,Y205-Z205,))</f>
        <v>0</v>
      </c>
      <c r="AD205" s="352">
        <f>+R205+-Y205+AB205</f>
        <v>34873725</v>
      </c>
      <c r="AG205" s="273"/>
      <c r="AH205" s="273"/>
    </row>
    <row r="206" spans="2:34" ht="15" customHeight="1" x14ac:dyDescent="0.2">
      <c r="B206" s="91" t="s">
        <v>7</v>
      </c>
      <c r="C206" s="92" t="s">
        <v>20</v>
      </c>
      <c r="D206" s="92" t="s">
        <v>20</v>
      </c>
      <c r="E206" s="92" t="s">
        <v>20</v>
      </c>
      <c r="F206" s="92" t="s">
        <v>17</v>
      </c>
      <c r="G206" s="92" t="s">
        <v>14</v>
      </c>
      <c r="H206" s="92"/>
      <c r="I206" s="92"/>
      <c r="J206" s="196"/>
      <c r="K206" s="91"/>
      <c r="L206" s="93" t="s">
        <v>114</v>
      </c>
      <c r="M206" s="93"/>
      <c r="N206" s="132"/>
      <c r="O206" s="155"/>
      <c r="P206" s="155"/>
      <c r="Q206" s="125">
        <f>SUM(Q207:Q208)</f>
        <v>30000000</v>
      </c>
      <c r="R206" s="94">
        <f>SUM(R207:R208)</f>
        <v>30000000</v>
      </c>
      <c r="S206" s="92"/>
      <c r="T206" s="95"/>
      <c r="U206" s="244"/>
      <c r="V206" s="300"/>
      <c r="W206" s="330"/>
      <c r="X206" s="94"/>
      <c r="Y206" s="94"/>
      <c r="Z206" s="354"/>
      <c r="AA206" s="354"/>
      <c r="AB206" s="354"/>
      <c r="AC206" s="354"/>
      <c r="AD206" s="354"/>
      <c r="AG206" s="273"/>
      <c r="AH206" s="273"/>
    </row>
    <row r="207" spans="2:34" ht="15" customHeight="1" x14ac:dyDescent="0.2">
      <c r="B207" s="11" t="s">
        <v>7</v>
      </c>
      <c r="C207" s="4" t="s">
        <v>20</v>
      </c>
      <c r="D207" s="4" t="s">
        <v>20</v>
      </c>
      <c r="E207" s="4" t="s">
        <v>20</v>
      </c>
      <c r="F207" s="4" t="s">
        <v>17</v>
      </c>
      <c r="G207" s="4" t="s">
        <v>14</v>
      </c>
      <c r="H207" s="4" t="s">
        <v>27</v>
      </c>
      <c r="I207" s="4"/>
      <c r="J207" s="197"/>
      <c r="K207" s="11"/>
      <c r="L207" s="6" t="s">
        <v>115</v>
      </c>
      <c r="M207" s="6"/>
      <c r="N207" s="133"/>
      <c r="O207" s="156"/>
      <c r="P207" s="156"/>
      <c r="Q207" s="125"/>
      <c r="R207" s="5"/>
      <c r="S207" s="181"/>
      <c r="T207" s="9"/>
      <c r="U207" s="245"/>
      <c r="V207" s="301"/>
      <c r="W207" s="331"/>
      <c r="X207" s="5"/>
      <c r="Y207" s="5"/>
      <c r="Z207" s="355"/>
      <c r="AA207" s="355"/>
      <c r="AB207" s="355"/>
      <c r="AC207" s="355"/>
      <c r="AD207" s="355"/>
      <c r="AG207" s="273"/>
      <c r="AH207" s="273"/>
    </row>
    <row r="208" spans="2:34" ht="15" customHeight="1" x14ac:dyDescent="0.2">
      <c r="B208" s="11" t="s">
        <v>7</v>
      </c>
      <c r="C208" s="4" t="s">
        <v>20</v>
      </c>
      <c r="D208" s="4" t="s">
        <v>20</v>
      </c>
      <c r="E208" s="4" t="s">
        <v>20</v>
      </c>
      <c r="F208" s="4" t="s">
        <v>17</v>
      </c>
      <c r="G208" s="4" t="s">
        <v>14</v>
      </c>
      <c r="H208" s="4" t="s">
        <v>31</v>
      </c>
      <c r="I208" s="4"/>
      <c r="J208" s="197"/>
      <c r="K208" s="11"/>
      <c r="L208" s="6" t="s">
        <v>116</v>
      </c>
      <c r="M208" s="6"/>
      <c r="N208" s="133"/>
      <c r="O208" s="156"/>
      <c r="P208" s="156"/>
      <c r="Q208" s="125">
        <v>30000000</v>
      </c>
      <c r="R208" s="5">
        <f>SUM(R209:R209)</f>
        <v>30000000</v>
      </c>
      <c r="S208" s="181"/>
      <c r="T208" s="9"/>
      <c r="U208" s="245"/>
      <c r="V208" s="301"/>
      <c r="W208" s="331"/>
      <c r="X208" s="5"/>
      <c r="Y208" s="5"/>
      <c r="Z208" s="355"/>
      <c r="AA208" s="355"/>
      <c r="AB208" s="355"/>
      <c r="AC208" s="355"/>
      <c r="AD208" s="355"/>
      <c r="AG208" s="273"/>
      <c r="AH208" s="273"/>
    </row>
    <row r="209" spans="2:34" ht="30" customHeight="1" x14ac:dyDescent="0.2">
      <c r="B209" s="623"/>
      <c r="C209" s="624"/>
      <c r="D209" s="624"/>
      <c r="E209" s="624"/>
      <c r="F209" s="624"/>
      <c r="G209" s="624"/>
      <c r="H209" s="624"/>
      <c r="I209" s="624"/>
      <c r="J209" s="624"/>
      <c r="K209" s="99">
        <v>93141500</v>
      </c>
      <c r="L209" s="100" t="s">
        <v>192</v>
      </c>
      <c r="M209" s="134">
        <v>44105</v>
      </c>
      <c r="N209" s="134">
        <v>44136</v>
      </c>
      <c r="O209" s="157" t="s">
        <v>294</v>
      </c>
      <c r="P209" s="157" t="s">
        <v>374</v>
      </c>
      <c r="Q209" s="125"/>
      <c r="R209" s="101">
        <v>30000000</v>
      </c>
      <c r="S209" s="182" t="s">
        <v>386</v>
      </c>
      <c r="T209" s="102"/>
      <c r="U209" s="253" t="s">
        <v>194</v>
      </c>
      <c r="V209" s="302">
        <v>5820</v>
      </c>
      <c r="W209" s="332">
        <v>43850</v>
      </c>
      <c r="X209" s="174">
        <v>30000000</v>
      </c>
      <c r="Y209" s="174">
        <v>30000000</v>
      </c>
      <c r="Z209" s="352">
        <v>10866326</v>
      </c>
      <c r="AA209" s="352">
        <f>+R209-Y209</f>
        <v>0</v>
      </c>
      <c r="AB209" s="352">
        <f>+Z209-AA209</f>
        <v>10866326</v>
      </c>
      <c r="AC209" s="352">
        <f>IF(Z209=0,"0",IF(Z209&gt;0,Y209-Z209,))</f>
        <v>19133674</v>
      </c>
      <c r="AD209" s="352">
        <f>+R209+-Y209+AB209</f>
        <v>10866326</v>
      </c>
      <c r="AG209" s="273"/>
      <c r="AH209" s="273"/>
    </row>
    <row r="210" spans="2:34" ht="15" customHeight="1" x14ac:dyDescent="0.2">
      <c r="B210" s="13" t="s">
        <v>7</v>
      </c>
      <c r="C210" s="14" t="s">
        <v>20</v>
      </c>
      <c r="D210" s="14" t="s">
        <v>20</v>
      </c>
      <c r="E210" s="14" t="s">
        <v>20</v>
      </c>
      <c r="F210" s="14" t="s">
        <v>18</v>
      </c>
      <c r="G210" s="14"/>
      <c r="H210" s="14"/>
      <c r="I210" s="14"/>
      <c r="J210" s="195"/>
      <c r="K210" s="13"/>
      <c r="L210" s="15" t="s">
        <v>19</v>
      </c>
      <c r="M210" s="15"/>
      <c r="N210" s="131"/>
      <c r="O210" s="154"/>
      <c r="P210" s="154"/>
      <c r="Q210" s="125">
        <v>28000000</v>
      </c>
      <c r="R210" s="16">
        <f>SUM(R211)</f>
        <v>28000000</v>
      </c>
      <c r="S210" s="14"/>
      <c r="T210" s="17"/>
      <c r="U210" s="252"/>
      <c r="V210" s="299"/>
      <c r="W210" s="329"/>
      <c r="X210" s="16"/>
      <c r="Y210" s="16"/>
      <c r="Z210" s="353"/>
      <c r="AA210" s="353"/>
      <c r="AB210" s="353"/>
      <c r="AC210" s="353"/>
      <c r="AD210" s="353"/>
      <c r="AG210" s="273"/>
      <c r="AH210" s="273"/>
    </row>
    <row r="211" spans="2:34" ht="45" customHeight="1" x14ac:dyDescent="0.2">
      <c r="B211" s="632"/>
      <c r="C211" s="633"/>
      <c r="D211" s="633"/>
      <c r="E211" s="633"/>
      <c r="F211" s="633"/>
      <c r="G211" s="633"/>
      <c r="H211" s="633"/>
      <c r="I211" s="633"/>
      <c r="J211" s="633"/>
      <c r="K211" s="99"/>
      <c r="L211" s="100" t="s">
        <v>19</v>
      </c>
      <c r="M211" s="157" t="s">
        <v>375</v>
      </c>
      <c r="N211" s="134">
        <v>43845</v>
      </c>
      <c r="O211" s="157" t="s">
        <v>324</v>
      </c>
      <c r="P211" s="157" t="s">
        <v>375</v>
      </c>
      <c r="Q211" s="125"/>
      <c r="R211" s="101">
        <v>28000000</v>
      </c>
      <c r="S211" s="182" t="s">
        <v>386</v>
      </c>
      <c r="T211" s="102"/>
      <c r="U211" s="253" t="s">
        <v>194</v>
      </c>
      <c r="V211" s="302">
        <v>13320</v>
      </c>
      <c r="W211" s="332">
        <v>43873</v>
      </c>
      <c r="X211" s="174">
        <v>28000000</v>
      </c>
      <c r="Y211" s="174">
        <v>28000000</v>
      </c>
      <c r="Z211" s="352">
        <v>5372940</v>
      </c>
      <c r="AA211" s="352">
        <f>+R211-Y211</f>
        <v>0</v>
      </c>
      <c r="AB211" s="352">
        <f>+Z211-AA211</f>
        <v>5372940</v>
      </c>
      <c r="AC211" s="352">
        <f>IF(Z211=0,"0",IF(Z211&gt;0,Y211-Z211,))</f>
        <v>22627060</v>
      </c>
      <c r="AD211" s="352">
        <f>+R211+-Y211+AB211</f>
        <v>5372940</v>
      </c>
      <c r="AG211" s="273"/>
      <c r="AH211" s="273"/>
    </row>
    <row r="212" spans="2:34" ht="15.75" customHeight="1" x14ac:dyDescent="0.25">
      <c r="B212" s="46" t="s">
        <v>7</v>
      </c>
      <c r="C212" s="47" t="s">
        <v>27</v>
      </c>
      <c r="D212" s="47"/>
      <c r="E212" s="47"/>
      <c r="F212" s="47"/>
      <c r="G212" s="47"/>
      <c r="H212" s="47"/>
      <c r="I212" s="47"/>
      <c r="J212" s="199"/>
      <c r="K212" s="46"/>
      <c r="L212" s="48" t="s">
        <v>120</v>
      </c>
      <c r="M212" s="48"/>
      <c r="N212" s="138"/>
      <c r="O212" s="161"/>
      <c r="P212" s="161"/>
      <c r="Q212" s="127">
        <f>+Q213</f>
        <v>8530000000</v>
      </c>
      <c r="R212" s="49">
        <f>+R213</f>
        <v>8530000000</v>
      </c>
      <c r="S212" s="228"/>
      <c r="T212" s="50"/>
      <c r="U212" s="258"/>
      <c r="V212" s="304"/>
      <c r="W212" s="334"/>
      <c r="X212" s="49"/>
      <c r="Y212" s="49"/>
      <c r="Z212" s="362"/>
      <c r="AA212" s="362"/>
      <c r="AB212" s="362"/>
      <c r="AC212" s="362"/>
      <c r="AD212" s="362"/>
      <c r="AG212" s="273"/>
      <c r="AH212" s="273"/>
    </row>
    <row r="213" spans="2:34" ht="15.75" customHeight="1" x14ac:dyDescent="0.25">
      <c r="B213" s="51" t="s">
        <v>7</v>
      </c>
      <c r="C213" s="52" t="s">
        <v>27</v>
      </c>
      <c r="D213" s="52" t="s">
        <v>8</v>
      </c>
      <c r="E213" s="52"/>
      <c r="F213" s="52"/>
      <c r="G213" s="52"/>
      <c r="H213" s="52"/>
      <c r="I213" s="52"/>
      <c r="J213" s="200"/>
      <c r="K213" s="51"/>
      <c r="L213" s="53" t="s">
        <v>120</v>
      </c>
      <c r="M213" s="53"/>
      <c r="N213" s="139"/>
      <c r="O213" s="162"/>
      <c r="P213" s="162"/>
      <c r="Q213" s="127">
        <f>+Q239+Q214</f>
        <v>8530000000</v>
      </c>
      <c r="R213" s="54">
        <f>+R239+R214</f>
        <v>8530000000</v>
      </c>
      <c r="S213" s="190"/>
      <c r="T213" s="55"/>
      <c r="U213" s="259"/>
      <c r="V213" s="305"/>
      <c r="W213" s="335"/>
      <c r="X213" s="54"/>
      <c r="Y213" s="54"/>
      <c r="Z213" s="363"/>
      <c r="AA213" s="363"/>
      <c r="AB213" s="363"/>
      <c r="AC213" s="363"/>
      <c r="AD213" s="363"/>
      <c r="AG213" s="273"/>
      <c r="AH213" s="273"/>
    </row>
    <row r="214" spans="2:34" ht="15" customHeight="1" x14ac:dyDescent="0.2">
      <c r="B214" s="21" t="s">
        <v>7</v>
      </c>
      <c r="C214" s="22" t="s">
        <v>27</v>
      </c>
      <c r="D214" s="22" t="s">
        <v>8</v>
      </c>
      <c r="E214" s="22" t="s">
        <v>8</v>
      </c>
      <c r="F214" s="22"/>
      <c r="G214" s="22"/>
      <c r="H214" s="22"/>
      <c r="I214" s="22"/>
      <c r="J214" s="201"/>
      <c r="K214" s="21"/>
      <c r="L214" s="23" t="s">
        <v>50</v>
      </c>
      <c r="M214" s="23"/>
      <c r="N214" s="140"/>
      <c r="O214" s="163"/>
      <c r="P214" s="163"/>
      <c r="Q214" s="125">
        <f>+Q215+Q219+Q229</f>
        <v>588000000</v>
      </c>
      <c r="R214" s="24">
        <f>+R215+R219+R229</f>
        <v>588000000</v>
      </c>
      <c r="S214" s="22"/>
      <c r="T214" s="25"/>
      <c r="U214" s="260"/>
      <c r="V214" s="306"/>
      <c r="W214" s="336"/>
      <c r="X214" s="24"/>
      <c r="Y214" s="24"/>
      <c r="Z214" s="364"/>
      <c r="AA214" s="364"/>
      <c r="AB214" s="364"/>
      <c r="AC214" s="364"/>
      <c r="AD214" s="364"/>
      <c r="AG214" s="273"/>
      <c r="AH214" s="273"/>
    </row>
    <row r="215" spans="2:34" ht="15" customHeight="1" x14ac:dyDescent="0.2">
      <c r="B215" s="13" t="s">
        <v>7</v>
      </c>
      <c r="C215" s="14" t="s">
        <v>27</v>
      </c>
      <c r="D215" s="14" t="s">
        <v>8</v>
      </c>
      <c r="E215" s="14" t="s">
        <v>8</v>
      </c>
      <c r="F215" s="14" t="s">
        <v>155</v>
      </c>
      <c r="G215" s="14"/>
      <c r="H215" s="14"/>
      <c r="I215" s="14"/>
      <c r="J215" s="195"/>
      <c r="K215" s="13"/>
      <c r="L215" s="15" t="s">
        <v>156</v>
      </c>
      <c r="M215" s="15"/>
      <c r="N215" s="131"/>
      <c r="O215" s="154"/>
      <c r="P215" s="154"/>
      <c r="Q215" s="125">
        <f>+Q216</f>
        <v>16000000</v>
      </c>
      <c r="R215" s="16">
        <f>+R216</f>
        <v>16000000</v>
      </c>
      <c r="S215" s="14"/>
      <c r="T215" s="17"/>
      <c r="U215" s="252"/>
      <c r="V215" s="299"/>
      <c r="W215" s="329"/>
      <c r="X215" s="16"/>
      <c r="Y215" s="16"/>
      <c r="Z215" s="353"/>
      <c r="AA215" s="353"/>
      <c r="AB215" s="353"/>
      <c r="AC215" s="353"/>
      <c r="AD215" s="353"/>
      <c r="AG215" s="273"/>
      <c r="AH215" s="273"/>
    </row>
    <row r="216" spans="2:34" ht="15" customHeight="1" x14ac:dyDescent="0.2">
      <c r="B216" s="31" t="s">
        <v>7</v>
      </c>
      <c r="C216" s="32" t="s">
        <v>27</v>
      </c>
      <c r="D216" s="32" t="s">
        <v>8</v>
      </c>
      <c r="E216" s="32" t="s">
        <v>8</v>
      </c>
      <c r="F216" s="32" t="s">
        <v>155</v>
      </c>
      <c r="G216" s="32" t="s">
        <v>9</v>
      </c>
      <c r="H216" s="32"/>
      <c r="I216" s="32"/>
      <c r="J216" s="202"/>
      <c r="K216" s="31"/>
      <c r="L216" s="33" t="s">
        <v>157</v>
      </c>
      <c r="M216" s="33"/>
      <c r="N216" s="141"/>
      <c r="O216" s="164"/>
      <c r="P216" s="164"/>
      <c r="Q216" s="125">
        <f>+Q217</f>
        <v>16000000</v>
      </c>
      <c r="R216" s="34">
        <f>+R217</f>
        <v>16000000</v>
      </c>
      <c r="S216" s="32"/>
      <c r="T216" s="35"/>
      <c r="U216" s="261"/>
      <c r="V216" s="307"/>
      <c r="W216" s="337"/>
      <c r="X216" s="34"/>
      <c r="Y216" s="34"/>
      <c r="Z216" s="365"/>
      <c r="AA216" s="365"/>
      <c r="AB216" s="365"/>
      <c r="AC216" s="365"/>
      <c r="AD216" s="365"/>
      <c r="AG216" s="273"/>
      <c r="AH216" s="273"/>
    </row>
    <row r="217" spans="2:34" ht="30" customHeight="1" x14ac:dyDescent="0.2">
      <c r="B217" s="11" t="s">
        <v>7</v>
      </c>
      <c r="C217" s="4" t="s">
        <v>27</v>
      </c>
      <c r="D217" s="4" t="s">
        <v>8</v>
      </c>
      <c r="E217" s="4" t="s">
        <v>8</v>
      </c>
      <c r="F217" s="4" t="s">
        <v>155</v>
      </c>
      <c r="G217" s="4" t="s">
        <v>9</v>
      </c>
      <c r="H217" s="4" t="s">
        <v>31</v>
      </c>
      <c r="I217" s="4"/>
      <c r="J217" s="197"/>
      <c r="K217" s="11"/>
      <c r="L217" s="6" t="s">
        <v>158</v>
      </c>
      <c r="M217" s="6"/>
      <c r="N217" s="133"/>
      <c r="O217" s="156"/>
      <c r="P217" s="156"/>
      <c r="Q217" s="125">
        <v>16000000</v>
      </c>
      <c r="R217" s="5">
        <f>SUM(R218:R218)</f>
        <v>16000000</v>
      </c>
      <c r="S217" s="181"/>
      <c r="T217" s="9"/>
      <c r="U217" s="245"/>
      <c r="V217" s="301"/>
      <c r="W217" s="331"/>
      <c r="X217" s="5"/>
      <c r="Y217" s="5"/>
      <c r="Z217" s="355"/>
      <c r="AA217" s="355"/>
      <c r="AB217" s="355"/>
      <c r="AC217" s="355"/>
      <c r="AD217" s="355"/>
      <c r="AG217" s="273"/>
      <c r="AH217" s="273"/>
    </row>
    <row r="218" spans="2:34" ht="60" customHeight="1" x14ac:dyDescent="0.2">
      <c r="B218" s="623"/>
      <c r="C218" s="624"/>
      <c r="D218" s="624"/>
      <c r="E218" s="624"/>
      <c r="F218" s="624"/>
      <c r="G218" s="624"/>
      <c r="H218" s="624"/>
      <c r="I218" s="624"/>
      <c r="J218" s="624"/>
      <c r="K218" s="177" t="s">
        <v>323</v>
      </c>
      <c r="L218" s="178" t="s">
        <v>210</v>
      </c>
      <c r="M218" s="134">
        <v>43891</v>
      </c>
      <c r="N218" s="134">
        <v>43922</v>
      </c>
      <c r="O218" s="157" t="s">
        <v>311</v>
      </c>
      <c r="P218" s="157" t="s">
        <v>318</v>
      </c>
      <c r="Q218" s="125"/>
      <c r="R218" s="101">
        <v>16000000</v>
      </c>
      <c r="S218" s="182" t="s">
        <v>386</v>
      </c>
      <c r="T218" s="102"/>
      <c r="U218" s="253" t="s">
        <v>221</v>
      </c>
      <c r="V218" s="302"/>
      <c r="W218" s="332"/>
      <c r="X218" s="174"/>
      <c r="Y218" s="174"/>
      <c r="Z218" s="352"/>
      <c r="AA218" s="352">
        <f>+R218-Y218</f>
        <v>16000000</v>
      </c>
      <c r="AB218" s="352">
        <f>+Z218-AA218</f>
        <v>-16000000</v>
      </c>
      <c r="AC218" s="352" t="str">
        <f>IF(Z218=0,"0",IF(Z218&gt;0,Y218-Z218,))</f>
        <v>0</v>
      </c>
      <c r="AD218" s="352">
        <f>+R218+-Y218+AB218</f>
        <v>0</v>
      </c>
      <c r="AG218" s="273"/>
      <c r="AH218" s="273"/>
    </row>
    <row r="219" spans="2:34" ht="30" customHeight="1" x14ac:dyDescent="0.2">
      <c r="B219" s="13" t="s">
        <v>7</v>
      </c>
      <c r="C219" s="14" t="s">
        <v>27</v>
      </c>
      <c r="D219" s="14" t="s">
        <v>8</v>
      </c>
      <c r="E219" s="14" t="s">
        <v>8</v>
      </c>
      <c r="F219" s="14" t="s">
        <v>11</v>
      </c>
      <c r="G219" s="14"/>
      <c r="H219" s="14"/>
      <c r="I219" s="14"/>
      <c r="J219" s="195"/>
      <c r="K219" s="13"/>
      <c r="L219" s="15" t="s">
        <v>57</v>
      </c>
      <c r="M219" s="15"/>
      <c r="N219" s="131"/>
      <c r="O219" s="154"/>
      <c r="P219" s="154"/>
      <c r="Q219" s="125">
        <f>+Q223+Q226+Q220</f>
        <v>60000000</v>
      </c>
      <c r="R219" s="16">
        <f>+R223+R226+R220</f>
        <v>80000000</v>
      </c>
      <c r="S219" s="218"/>
      <c r="T219" s="17"/>
      <c r="U219" s="252"/>
      <c r="V219" s="299"/>
      <c r="W219" s="329"/>
      <c r="X219" s="16"/>
      <c r="Y219" s="16"/>
      <c r="Z219" s="353"/>
      <c r="AA219" s="353"/>
      <c r="AB219" s="353"/>
      <c r="AC219" s="353"/>
      <c r="AD219" s="353"/>
      <c r="AG219" s="273"/>
      <c r="AH219" s="273"/>
    </row>
    <row r="220" spans="2:34" ht="30" customHeight="1" x14ac:dyDescent="0.2">
      <c r="B220" s="31" t="s">
        <v>7</v>
      </c>
      <c r="C220" s="32" t="s">
        <v>27</v>
      </c>
      <c r="D220" s="32" t="s">
        <v>8</v>
      </c>
      <c r="E220" s="32" t="s">
        <v>8</v>
      </c>
      <c r="F220" s="32" t="s">
        <v>11</v>
      </c>
      <c r="G220" s="32" t="s">
        <v>10</v>
      </c>
      <c r="H220" s="32"/>
      <c r="I220" s="32"/>
      <c r="J220" s="202"/>
      <c r="K220" s="31"/>
      <c r="L220" s="33" t="s">
        <v>58</v>
      </c>
      <c r="M220" s="33"/>
      <c r="N220" s="141"/>
      <c r="O220" s="164"/>
      <c r="P220" s="164"/>
      <c r="Q220" s="125">
        <f>+Q221</f>
        <v>0</v>
      </c>
      <c r="R220" s="34">
        <f>+R221</f>
        <v>20000000</v>
      </c>
      <c r="S220" s="32"/>
      <c r="T220" s="35"/>
      <c r="U220" s="261"/>
      <c r="V220" s="307"/>
      <c r="W220" s="337"/>
      <c r="X220" s="34"/>
      <c r="Y220" s="34"/>
      <c r="Z220" s="365"/>
      <c r="AA220" s="365"/>
      <c r="AB220" s="365"/>
      <c r="AC220" s="365"/>
      <c r="AD220" s="365"/>
      <c r="AG220" s="273"/>
      <c r="AH220" s="273"/>
    </row>
    <row r="221" spans="2:34" ht="15" customHeight="1" x14ac:dyDescent="0.2">
      <c r="B221" s="11" t="s">
        <v>7</v>
      </c>
      <c r="C221" s="4" t="s">
        <v>27</v>
      </c>
      <c r="D221" s="4" t="s">
        <v>8</v>
      </c>
      <c r="E221" s="4" t="s">
        <v>8</v>
      </c>
      <c r="F221" s="233" t="s">
        <v>11</v>
      </c>
      <c r="G221" s="233" t="s">
        <v>10</v>
      </c>
      <c r="H221" s="233" t="s">
        <v>8</v>
      </c>
      <c r="I221" s="4"/>
      <c r="J221" s="197"/>
      <c r="K221" s="11"/>
      <c r="L221" s="6" t="s">
        <v>59</v>
      </c>
      <c r="M221" s="6"/>
      <c r="N221" s="133"/>
      <c r="O221" s="156"/>
      <c r="P221" s="156"/>
      <c r="Q221" s="125">
        <v>0</v>
      </c>
      <c r="R221" s="5">
        <f>SUM(R222:R222)</f>
        <v>20000000</v>
      </c>
      <c r="S221" s="181"/>
      <c r="T221" s="9"/>
      <c r="U221" s="245"/>
      <c r="V221" s="301"/>
      <c r="W221" s="331"/>
      <c r="X221" s="5"/>
      <c r="Y221" s="5"/>
      <c r="Z221" s="355"/>
      <c r="AA221" s="355"/>
      <c r="AB221" s="355"/>
      <c r="AC221" s="355"/>
      <c r="AD221" s="355"/>
      <c r="AG221" s="273"/>
      <c r="AH221" s="273"/>
    </row>
    <row r="222" spans="2:34" ht="135" customHeight="1" x14ac:dyDescent="0.2">
      <c r="B222" s="632"/>
      <c r="C222" s="633"/>
      <c r="D222" s="633"/>
      <c r="E222" s="633"/>
      <c r="F222" s="633"/>
      <c r="G222" s="633"/>
      <c r="H222" s="633"/>
      <c r="I222" s="633"/>
      <c r="J222" s="634"/>
      <c r="K222" s="177" t="s">
        <v>312</v>
      </c>
      <c r="L222" s="178" t="s">
        <v>395</v>
      </c>
      <c r="M222" s="178"/>
      <c r="N222" s="134">
        <v>43891</v>
      </c>
      <c r="O222" s="157" t="s">
        <v>362</v>
      </c>
      <c r="P222" s="157" t="s">
        <v>360</v>
      </c>
      <c r="Q222" s="125"/>
      <c r="R222" s="101">
        <v>20000000</v>
      </c>
      <c r="S222" s="182" t="s">
        <v>386</v>
      </c>
      <c r="T222" s="102"/>
      <c r="U222" s="253" t="s">
        <v>222</v>
      </c>
      <c r="V222" s="302">
        <v>12620</v>
      </c>
      <c r="W222" s="332">
        <v>43871</v>
      </c>
      <c r="X222" s="174">
        <v>20000000</v>
      </c>
      <c r="Y222" s="174">
        <v>20000000</v>
      </c>
      <c r="Z222" s="352"/>
      <c r="AA222" s="352">
        <f>+R222-Y222</f>
        <v>0</v>
      </c>
      <c r="AB222" s="352">
        <f>+Z222-AA222</f>
        <v>0</v>
      </c>
      <c r="AC222" s="352" t="str">
        <f>IF(Z222=0,"0",IF(Z222&gt;0,Y222-Z222,))</f>
        <v>0</v>
      </c>
      <c r="AD222" s="352">
        <f>+R222+-Y222+AB222</f>
        <v>0</v>
      </c>
      <c r="AG222" s="273"/>
      <c r="AH222" s="273"/>
    </row>
    <row r="223" spans="2:34" ht="30" customHeight="1" x14ac:dyDescent="0.2">
      <c r="B223" s="31" t="s">
        <v>7</v>
      </c>
      <c r="C223" s="32" t="s">
        <v>27</v>
      </c>
      <c r="D223" s="32" t="s">
        <v>8</v>
      </c>
      <c r="E223" s="32" t="s">
        <v>8</v>
      </c>
      <c r="F223" s="32" t="s">
        <v>11</v>
      </c>
      <c r="G223" s="32" t="s">
        <v>11</v>
      </c>
      <c r="H223" s="32"/>
      <c r="I223" s="32"/>
      <c r="J223" s="202"/>
      <c r="K223" s="31"/>
      <c r="L223" s="33" t="s">
        <v>60</v>
      </c>
      <c r="M223" s="33"/>
      <c r="N223" s="141"/>
      <c r="O223" s="164"/>
      <c r="P223" s="164"/>
      <c r="Q223" s="125">
        <f>+Q224</f>
        <v>19000000</v>
      </c>
      <c r="R223" s="34">
        <f>+R224</f>
        <v>23000000</v>
      </c>
      <c r="S223" s="32"/>
      <c r="T223" s="35"/>
      <c r="U223" s="261"/>
      <c r="V223" s="307"/>
      <c r="W223" s="337"/>
      <c r="X223" s="34"/>
      <c r="Y223" s="34"/>
      <c r="Z223" s="365"/>
      <c r="AA223" s="365"/>
      <c r="AB223" s="365"/>
      <c r="AC223" s="365"/>
      <c r="AD223" s="365"/>
      <c r="AG223" s="273"/>
      <c r="AH223" s="273"/>
    </row>
    <row r="224" spans="2:34" ht="30" customHeight="1" x14ac:dyDescent="0.2">
      <c r="B224" s="11" t="s">
        <v>7</v>
      </c>
      <c r="C224" s="4" t="s">
        <v>27</v>
      </c>
      <c r="D224" s="4" t="s">
        <v>8</v>
      </c>
      <c r="E224" s="4" t="s">
        <v>8</v>
      </c>
      <c r="F224" s="4" t="s">
        <v>11</v>
      </c>
      <c r="G224" s="4" t="s">
        <v>11</v>
      </c>
      <c r="H224" s="4" t="s">
        <v>24</v>
      </c>
      <c r="I224" s="4"/>
      <c r="J224" s="197"/>
      <c r="K224" s="11"/>
      <c r="L224" s="6" t="s">
        <v>61</v>
      </c>
      <c r="M224" s="6"/>
      <c r="N224" s="133"/>
      <c r="O224" s="156"/>
      <c r="P224" s="156"/>
      <c r="Q224" s="125">
        <v>19000000</v>
      </c>
      <c r="R224" s="5">
        <f>SUM(R225:R225)</f>
        <v>23000000</v>
      </c>
      <c r="S224" s="181"/>
      <c r="T224" s="9"/>
      <c r="U224" s="245"/>
      <c r="V224" s="301"/>
      <c r="W224" s="331"/>
      <c r="X224" s="5"/>
      <c r="Y224" s="5"/>
      <c r="Z224" s="355"/>
      <c r="AA224" s="355"/>
      <c r="AB224" s="355"/>
      <c r="AC224" s="355"/>
      <c r="AD224" s="355"/>
      <c r="AG224" s="273"/>
      <c r="AH224" s="273"/>
    </row>
    <row r="225" spans="2:34" ht="45" x14ac:dyDescent="0.2">
      <c r="B225" s="632"/>
      <c r="C225" s="633"/>
      <c r="D225" s="633"/>
      <c r="E225" s="633"/>
      <c r="F225" s="633"/>
      <c r="G225" s="633"/>
      <c r="H225" s="633"/>
      <c r="I225" s="633"/>
      <c r="J225" s="634"/>
      <c r="K225" s="99">
        <v>15101500</v>
      </c>
      <c r="L225" s="178" t="s">
        <v>206</v>
      </c>
      <c r="M225" s="134">
        <v>43891</v>
      </c>
      <c r="N225" s="134">
        <v>43845</v>
      </c>
      <c r="O225" s="157" t="s">
        <v>324</v>
      </c>
      <c r="P225" s="157" t="s">
        <v>318</v>
      </c>
      <c r="Q225" s="125"/>
      <c r="R225" s="101">
        <f>19000000+4000000</f>
        <v>23000000</v>
      </c>
      <c r="S225" s="182" t="s">
        <v>386</v>
      </c>
      <c r="T225" s="102"/>
      <c r="U225" s="253" t="s">
        <v>221</v>
      </c>
      <c r="V225" s="302">
        <v>9120</v>
      </c>
      <c r="W225" s="332">
        <v>43854</v>
      </c>
      <c r="X225" s="174">
        <v>23000000</v>
      </c>
      <c r="Y225" s="174">
        <v>23000000</v>
      </c>
      <c r="Z225" s="352">
        <v>23000000</v>
      </c>
      <c r="AA225" s="352">
        <f>+R225-Y225</f>
        <v>0</v>
      </c>
      <c r="AB225" s="352">
        <f>+Z225-AA225</f>
        <v>23000000</v>
      </c>
      <c r="AC225" s="352">
        <f>IF(Z225=0,"0",IF(Z225&gt;0,Y225-Z225,))</f>
        <v>0</v>
      </c>
      <c r="AD225" s="352">
        <f>+R225-Y225+AB225</f>
        <v>23000000</v>
      </c>
      <c r="AG225" s="273"/>
      <c r="AH225" s="273"/>
    </row>
    <row r="226" spans="2:34" ht="17.649999999999999" customHeight="1" x14ac:dyDescent="0.2">
      <c r="B226" s="31" t="s">
        <v>7</v>
      </c>
      <c r="C226" s="32" t="s">
        <v>27</v>
      </c>
      <c r="D226" s="32" t="s">
        <v>8</v>
      </c>
      <c r="E226" s="32" t="s">
        <v>8</v>
      </c>
      <c r="F226" s="32" t="s">
        <v>11</v>
      </c>
      <c r="G226" s="32" t="s">
        <v>15</v>
      </c>
      <c r="H226" s="32"/>
      <c r="I226" s="32"/>
      <c r="J226" s="202"/>
      <c r="K226" s="31"/>
      <c r="L226" s="33" t="s">
        <v>71</v>
      </c>
      <c r="M226" s="33"/>
      <c r="N226" s="141"/>
      <c r="O226" s="164"/>
      <c r="P226" s="164"/>
      <c r="Q226" s="125">
        <f>SUM(Q227:Q227)</f>
        <v>41000000</v>
      </c>
      <c r="R226" s="34">
        <f>SUM(R227:R227)</f>
        <v>37000000</v>
      </c>
      <c r="S226" s="235"/>
      <c r="T226" s="35"/>
      <c r="U226" s="261"/>
      <c r="V226" s="307"/>
      <c r="W226" s="337"/>
      <c r="X226" s="34"/>
      <c r="Y226" s="34"/>
      <c r="Z226" s="365"/>
      <c r="AA226" s="365"/>
      <c r="AB226" s="365"/>
      <c r="AC226" s="365"/>
      <c r="AD226" s="365"/>
      <c r="AG226" s="273"/>
      <c r="AH226" s="273"/>
    </row>
    <row r="227" spans="2:34" ht="15" customHeight="1" x14ac:dyDescent="0.2">
      <c r="B227" s="11" t="s">
        <v>7</v>
      </c>
      <c r="C227" s="4" t="s">
        <v>27</v>
      </c>
      <c r="D227" s="4" t="s">
        <v>8</v>
      </c>
      <c r="E227" s="4" t="s">
        <v>8</v>
      </c>
      <c r="F227" s="4" t="s">
        <v>11</v>
      </c>
      <c r="G227" s="4" t="s">
        <v>15</v>
      </c>
      <c r="H227" s="4" t="s">
        <v>8</v>
      </c>
      <c r="I227" s="4"/>
      <c r="J227" s="197"/>
      <c r="K227" s="11"/>
      <c r="L227" s="6" t="s">
        <v>72</v>
      </c>
      <c r="M227" s="6"/>
      <c r="N227" s="133"/>
      <c r="O227" s="156"/>
      <c r="P227" s="156"/>
      <c r="Q227" s="125">
        <v>41000000</v>
      </c>
      <c r="R227" s="5">
        <f>SUM(R228:R228)</f>
        <v>37000000</v>
      </c>
      <c r="S227" s="181"/>
      <c r="T227" s="9"/>
      <c r="U227" s="245"/>
      <c r="V227" s="301"/>
      <c r="W227" s="331"/>
      <c r="X227" s="5"/>
      <c r="Y227" s="5"/>
      <c r="Z227" s="355"/>
      <c r="AA227" s="355"/>
      <c r="AB227" s="355"/>
      <c r="AC227" s="355"/>
      <c r="AD227" s="355"/>
      <c r="AG227" s="273"/>
      <c r="AH227" s="273"/>
    </row>
    <row r="228" spans="2:34" ht="45" customHeight="1" x14ac:dyDescent="0.2">
      <c r="B228" s="632"/>
      <c r="C228" s="633"/>
      <c r="D228" s="633"/>
      <c r="E228" s="633"/>
      <c r="F228" s="633"/>
      <c r="G228" s="633"/>
      <c r="H228" s="633"/>
      <c r="I228" s="633"/>
      <c r="J228" s="634"/>
      <c r="K228" s="177" t="s">
        <v>325</v>
      </c>
      <c r="L228" s="178" t="s">
        <v>217</v>
      </c>
      <c r="M228" s="134">
        <v>43845</v>
      </c>
      <c r="N228" s="134">
        <v>43876</v>
      </c>
      <c r="O228" s="157" t="s">
        <v>296</v>
      </c>
      <c r="P228" s="157" t="s">
        <v>319</v>
      </c>
      <c r="Q228" s="125"/>
      <c r="R228" s="101">
        <f>41000000-4000000</f>
        <v>37000000</v>
      </c>
      <c r="S228" s="182" t="s">
        <v>386</v>
      </c>
      <c r="T228" s="102"/>
      <c r="U228" s="253" t="s">
        <v>221</v>
      </c>
      <c r="V228" s="302">
        <v>6820</v>
      </c>
      <c r="W228" s="332">
        <v>43852</v>
      </c>
      <c r="X228" s="174">
        <v>37000000</v>
      </c>
      <c r="Y228" s="174">
        <v>37000000</v>
      </c>
      <c r="Z228" s="352">
        <v>37000000</v>
      </c>
      <c r="AA228" s="352">
        <f>+R228-Y228</f>
        <v>0</v>
      </c>
      <c r="AB228" s="352">
        <f>+Z228-AA228</f>
        <v>37000000</v>
      </c>
      <c r="AC228" s="352">
        <f>IF(Z228=0,"0",IF(Z228&gt;0,Y228-Z228,))</f>
        <v>0</v>
      </c>
      <c r="AD228" s="352">
        <f>+R228-Y228+AB228</f>
        <v>37000000</v>
      </c>
      <c r="AG228" s="273"/>
      <c r="AH228" s="273"/>
    </row>
    <row r="229" spans="2:34" ht="15" customHeight="1" x14ac:dyDescent="0.2">
      <c r="B229" s="13" t="s">
        <v>7</v>
      </c>
      <c r="C229" s="14" t="s">
        <v>27</v>
      </c>
      <c r="D229" s="14" t="s">
        <v>8</v>
      </c>
      <c r="E229" s="14" t="s">
        <v>8</v>
      </c>
      <c r="F229" s="14" t="s">
        <v>12</v>
      </c>
      <c r="G229" s="14"/>
      <c r="H229" s="14"/>
      <c r="I229" s="14"/>
      <c r="J229" s="195"/>
      <c r="K229" s="13"/>
      <c r="L229" s="15" t="s">
        <v>121</v>
      </c>
      <c r="M229" s="15"/>
      <c r="N229" s="131"/>
      <c r="O229" s="154"/>
      <c r="P229" s="154"/>
      <c r="Q229" s="125">
        <f>+Q230+Q233+Q236</f>
        <v>512000000</v>
      </c>
      <c r="R229" s="16">
        <f>+R230+R233+R236</f>
        <v>492000000</v>
      </c>
      <c r="S229" s="218"/>
      <c r="T229" s="17"/>
      <c r="U229" s="252"/>
      <c r="V229" s="299"/>
      <c r="W229" s="329"/>
      <c r="X229" s="16"/>
      <c r="Y229" s="16"/>
      <c r="Z229" s="353"/>
      <c r="AA229" s="353"/>
      <c r="AB229" s="353"/>
      <c r="AC229" s="353"/>
      <c r="AD229" s="353"/>
      <c r="AG229" s="273"/>
      <c r="AH229" s="273"/>
    </row>
    <row r="230" spans="2:34" ht="17.649999999999999" customHeight="1" x14ac:dyDescent="0.2">
      <c r="B230" s="31" t="s">
        <v>7</v>
      </c>
      <c r="C230" s="32" t="s">
        <v>27</v>
      </c>
      <c r="D230" s="32" t="s">
        <v>8</v>
      </c>
      <c r="E230" s="32" t="s">
        <v>8</v>
      </c>
      <c r="F230" s="32" t="s">
        <v>12</v>
      </c>
      <c r="G230" s="32" t="s">
        <v>10</v>
      </c>
      <c r="H230" s="32"/>
      <c r="I230" s="32"/>
      <c r="J230" s="202"/>
      <c r="K230" s="31"/>
      <c r="L230" s="33" t="s">
        <v>74</v>
      </c>
      <c r="M230" s="33"/>
      <c r="N230" s="141"/>
      <c r="O230" s="164"/>
      <c r="P230" s="164"/>
      <c r="Q230" s="125">
        <v>190000000</v>
      </c>
      <c r="R230" s="34">
        <f>SUM(R231:R232)</f>
        <v>60000000</v>
      </c>
      <c r="S230" s="32"/>
      <c r="T230" s="35"/>
      <c r="U230" s="261"/>
      <c r="V230" s="307"/>
      <c r="W230" s="337"/>
      <c r="X230" s="34"/>
      <c r="Y230" s="34"/>
      <c r="Z230" s="365"/>
      <c r="AA230" s="365"/>
      <c r="AB230" s="365"/>
      <c r="AC230" s="365"/>
      <c r="AD230" s="365"/>
      <c r="AG230" s="273"/>
      <c r="AH230" s="273"/>
    </row>
    <row r="231" spans="2:34" ht="30" customHeight="1" x14ac:dyDescent="0.2">
      <c r="B231" s="623"/>
      <c r="C231" s="624"/>
      <c r="D231" s="624"/>
      <c r="E231" s="624"/>
      <c r="F231" s="624"/>
      <c r="G231" s="624"/>
      <c r="H231" s="624"/>
      <c r="I231" s="624"/>
      <c r="J231" s="624"/>
      <c r="K231" s="177" t="s">
        <v>327</v>
      </c>
      <c r="L231" s="178" t="s">
        <v>330</v>
      </c>
      <c r="M231" s="134">
        <v>43941</v>
      </c>
      <c r="N231" s="134">
        <v>43971</v>
      </c>
      <c r="O231" s="157" t="s">
        <v>331</v>
      </c>
      <c r="P231" s="157" t="s">
        <v>319</v>
      </c>
      <c r="Q231" s="125"/>
      <c r="R231" s="101">
        <v>30000000</v>
      </c>
      <c r="S231" s="182" t="s">
        <v>386</v>
      </c>
      <c r="T231" s="102"/>
      <c r="U231" s="253" t="s">
        <v>221</v>
      </c>
      <c r="V231" s="302"/>
      <c r="W231" s="332"/>
      <c r="X231" s="174"/>
      <c r="Y231" s="174"/>
      <c r="Z231" s="352"/>
      <c r="AA231" s="352"/>
      <c r="AB231" s="352"/>
      <c r="AC231" s="352"/>
      <c r="AD231" s="352"/>
      <c r="AG231" s="273"/>
      <c r="AH231" s="273"/>
    </row>
    <row r="232" spans="2:34" ht="30" customHeight="1" x14ac:dyDescent="0.2">
      <c r="B232" s="625"/>
      <c r="C232" s="626"/>
      <c r="D232" s="626"/>
      <c r="E232" s="626"/>
      <c r="F232" s="626"/>
      <c r="G232" s="626"/>
      <c r="H232" s="626"/>
      <c r="I232" s="626"/>
      <c r="J232" s="626"/>
      <c r="K232" s="177" t="s">
        <v>328</v>
      </c>
      <c r="L232" s="100" t="s">
        <v>329</v>
      </c>
      <c r="M232" s="134">
        <v>43891</v>
      </c>
      <c r="N232" s="134">
        <v>43922</v>
      </c>
      <c r="O232" s="157" t="s">
        <v>331</v>
      </c>
      <c r="P232" s="157" t="s">
        <v>319</v>
      </c>
      <c r="Q232" s="125"/>
      <c r="R232" s="101">
        <v>30000000</v>
      </c>
      <c r="S232" s="182" t="s">
        <v>386</v>
      </c>
      <c r="T232" s="102"/>
      <c r="U232" s="253" t="s">
        <v>221</v>
      </c>
      <c r="V232" s="302"/>
      <c r="W232" s="332"/>
      <c r="X232" s="174"/>
      <c r="Y232" s="174"/>
      <c r="Z232" s="352"/>
      <c r="AA232" s="352"/>
      <c r="AB232" s="352"/>
      <c r="AC232" s="352"/>
      <c r="AD232" s="352"/>
      <c r="AG232" s="273"/>
      <c r="AH232" s="273"/>
    </row>
    <row r="233" spans="2:34" ht="15" customHeight="1" x14ac:dyDescent="0.2">
      <c r="B233" s="31" t="s">
        <v>7</v>
      </c>
      <c r="C233" s="32" t="s">
        <v>27</v>
      </c>
      <c r="D233" s="32" t="s">
        <v>8</v>
      </c>
      <c r="E233" s="32" t="s">
        <v>8</v>
      </c>
      <c r="F233" s="32" t="s">
        <v>12</v>
      </c>
      <c r="G233" s="32" t="s">
        <v>11</v>
      </c>
      <c r="H233" s="32"/>
      <c r="I233" s="32"/>
      <c r="J233" s="202"/>
      <c r="K233" s="31"/>
      <c r="L233" s="33" t="s">
        <v>37</v>
      </c>
      <c r="M233" s="33"/>
      <c r="N233" s="141"/>
      <c r="O233" s="164"/>
      <c r="P233" s="164"/>
      <c r="Q233" s="125">
        <f>+Q234</f>
        <v>0</v>
      </c>
      <c r="R233" s="34">
        <f>+R234</f>
        <v>130000000</v>
      </c>
      <c r="S233" s="32"/>
      <c r="T233" s="35"/>
      <c r="U233" s="261"/>
      <c r="V233" s="307"/>
      <c r="W233" s="337"/>
      <c r="X233" s="34"/>
      <c r="Y233" s="34"/>
      <c r="Z233" s="365"/>
      <c r="AA233" s="365"/>
      <c r="AB233" s="365"/>
      <c r="AC233" s="365"/>
      <c r="AD233" s="365"/>
      <c r="AG233" s="273"/>
      <c r="AH233" s="273"/>
    </row>
    <row r="234" spans="2:34" ht="30" customHeight="1" x14ac:dyDescent="0.2">
      <c r="B234" s="11" t="s">
        <v>7</v>
      </c>
      <c r="C234" s="4" t="s">
        <v>27</v>
      </c>
      <c r="D234" s="4" t="s">
        <v>8</v>
      </c>
      <c r="E234" s="4" t="s">
        <v>8</v>
      </c>
      <c r="F234" s="4" t="s">
        <v>12</v>
      </c>
      <c r="G234" s="4" t="s">
        <v>11</v>
      </c>
      <c r="H234" s="4" t="s">
        <v>24</v>
      </c>
      <c r="I234" s="4"/>
      <c r="J234" s="197"/>
      <c r="K234" s="11"/>
      <c r="L234" s="6" t="s">
        <v>38</v>
      </c>
      <c r="M234" s="6"/>
      <c r="N234" s="133"/>
      <c r="O234" s="156"/>
      <c r="P234" s="156"/>
      <c r="Q234" s="125">
        <v>0</v>
      </c>
      <c r="R234" s="5">
        <f>SUM(R235:R235)</f>
        <v>130000000</v>
      </c>
      <c r="S234" s="181"/>
      <c r="T234" s="9"/>
      <c r="U234" s="245"/>
      <c r="V234" s="301"/>
      <c r="W234" s="331"/>
      <c r="X234" s="5"/>
      <c r="Y234" s="5"/>
      <c r="Z234" s="355"/>
      <c r="AA234" s="355"/>
      <c r="AB234" s="355"/>
      <c r="AC234" s="355"/>
      <c r="AD234" s="355"/>
      <c r="AG234" s="273"/>
      <c r="AH234" s="273"/>
    </row>
    <row r="235" spans="2:34" ht="30" customHeight="1" x14ac:dyDescent="0.2">
      <c r="B235" s="623"/>
      <c r="C235" s="624"/>
      <c r="D235" s="624"/>
      <c r="E235" s="624"/>
      <c r="F235" s="624"/>
      <c r="G235" s="624"/>
      <c r="H235" s="624"/>
      <c r="I235" s="624"/>
      <c r="J235" s="624"/>
      <c r="K235" s="99">
        <v>40101800</v>
      </c>
      <c r="L235" s="100" t="s">
        <v>219</v>
      </c>
      <c r="M235" s="100"/>
      <c r="N235" s="134">
        <v>43905</v>
      </c>
      <c r="O235" s="157" t="s">
        <v>332</v>
      </c>
      <c r="P235" s="157" t="s">
        <v>334</v>
      </c>
      <c r="Q235" s="125"/>
      <c r="R235" s="101">
        <v>130000000</v>
      </c>
      <c r="S235" s="182" t="s">
        <v>386</v>
      </c>
      <c r="T235" s="102"/>
      <c r="U235" s="253" t="s">
        <v>221</v>
      </c>
      <c r="V235" s="302">
        <v>12420</v>
      </c>
      <c r="W235" s="332">
        <v>0</v>
      </c>
      <c r="X235" s="174">
        <v>130000000</v>
      </c>
      <c r="Y235" s="174">
        <v>130000000</v>
      </c>
      <c r="Z235" s="352">
        <v>130000000</v>
      </c>
      <c r="AA235" s="352">
        <f>+R235-Y235</f>
        <v>0</v>
      </c>
      <c r="AB235" s="352">
        <f>+Z235-AA235</f>
        <v>130000000</v>
      </c>
      <c r="AC235" s="352">
        <f>IF(Z235=0,"0",IF(Z235&gt;0,Y235-Z235,))</f>
        <v>0</v>
      </c>
      <c r="AD235" s="352">
        <f>+R235-Y235+AB235</f>
        <v>130000000</v>
      </c>
      <c r="AG235" s="273"/>
      <c r="AH235" s="273"/>
    </row>
    <row r="236" spans="2:34" ht="15" customHeight="1" x14ac:dyDescent="0.2">
      <c r="B236" s="31" t="s">
        <v>7</v>
      </c>
      <c r="C236" s="32" t="s">
        <v>27</v>
      </c>
      <c r="D236" s="32" t="s">
        <v>8</v>
      </c>
      <c r="E236" s="32" t="s">
        <v>8</v>
      </c>
      <c r="F236" s="32" t="s">
        <v>12</v>
      </c>
      <c r="G236" s="32" t="s">
        <v>12</v>
      </c>
      <c r="H236" s="32"/>
      <c r="I236" s="32"/>
      <c r="J236" s="202"/>
      <c r="K236" s="31"/>
      <c r="L236" s="33" t="s">
        <v>39</v>
      </c>
      <c r="M236" s="33"/>
      <c r="N236" s="141"/>
      <c r="O236" s="164"/>
      <c r="P236" s="164"/>
      <c r="Q236" s="125">
        <f>+Q237</f>
        <v>322000000</v>
      </c>
      <c r="R236" s="34">
        <f>+R237</f>
        <v>302000000</v>
      </c>
      <c r="S236" s="235"/>
      <c r="T236" s="35"/>
      <c r="U236" s="261"/>
      <c r="V236" s="307"/>
      <c r="W236" s="337"/>
      <c r="X236" s="34"/>
      <c r="Y236" s="34"/>
      <c r="Z236" s="365"/>
      <c r="AA236" s="365"/>
      <c r="AB236" s="365"/>
      <c r="AC236" s="365"/>
      <c r="AD236" s="365"/>
      <c r="AG236" s="273"/>
      <c r="AH236" s="273"/>
    </row>
    <row r="237" spans="2:34" ht="15" customHeight="1" x14ac:dyDescent="0.2">
      <c r="B237" s="11" t="s">
        <v>7</v>
      </c>
      <c r="C237" s="4" t="s">
        <v>27</v>
      </c>
      <c r="D237" s="4" t="s">
        <v>8</v>
      </c>
      <c r="E237" s="4" t="s">
        <v>8</v>
      </c>
      <c r="F237" s="4" t="s">
        <v>12</v>
      </c>
      <c r="G237" s="4" t="s">
        <v>12</v>
      </c>
      <c r="H237" s="4" t="s">
        <v>20</v>
      </c>
      <c r="I237" s="4"/>
      <c r="J237" s="197"/>
      <c r="K237" s="11"/>
      <c r="L237" s="6" t="s">
        <v>40</v>
      </c>
      <c r="M237" s="6"/>
      <c r="N237" s="133"/>
      <c r="O237" s="156"/>
      <c r="P237" s="156"/>
      <c r="Q237" s="125">
        <v>322000000</v>
      </c>
      <c r="R237" s="5">
        <f>SUM(R238:R238)</f>
        <v>302000000</v>
      </c>
      <c r="S237" s="181"/>
      <c r="T237" s="9"/>
      <c r="U237" s="245"/>
      <c r="V237" s="301"/>
      <c r="W237" s="331"/>
      <c r="X237" s="5"/>
      <c r="Y237" s="5"/>
      <c r="Z237" s="355"/>
      <c r="AA237" s="355"/>
      <c r="AB237" s="355"/>
      <c r="AC237" s="355"/>
      <c r="AD237" s="355"/>
      <c r="AG237" s="273"/>
      <c r="AH237" s="273"/>
    </row>
    <row r="238" spans="2:34" ht="45" customHeight="1" x14ac:dyDescent="0.2">
      <c r="B238" s="623"/>
      <c r="C238" s="624"/>
      <c r="D238" s="624"/>
      <c r="E238" s="624"/>
      <c r="F238" s="624"/>
      <c r="G238" s="624"/>
      <c r="H238" s="624"/>
      <c r="I238" s="624"/>
      <c r="J238" s="624"/>
      <c r="K238" s="177" t="s">
        <v>333</v>
      </c>
      <c r="L238" s="178" t="s">
        <v>200</v>
      </c>
      <c r="M238" s="134">
        <v>43845</v>
      </c>
      <c r="N238" s="134">
        <v>43876</v>
      </c>
      <c r="O238" s="157" t="s">
        <v>332</v>
      </c>
      <c r="P238" s="157" t="s">
        <v>319</v>
      </c>
      <c r="Q238" s="125"/>
      <c r="R238" s="101">
        <f>180000000+272000000-130000000-20000000</f>
        <v>302000000</v>
      </c>
      <c r="S238" s="182" t="s">
        <v>386</v>
      </c>
      <c r="T238" s="102"/>
      <c r="U238" s="253" t="s">
        <v>221</v>
      </c>
      <c r="V238" s="302">
        <v>8620</v>
      </c>
      <c r="W238" s="332">
        <v>43853</v>
      </c>
      <c r="X238" s="174">
        <v>180000000</v>
      </c>
      <c r="Y238" s="174">
        <v>180000000</v>
      </c>
      <c r="Z238" s="352">
        <v>47549354</v>
      </c>
      <c r="AA238" s="352">
        <f>+R238-Y238</f>
        <v>122000000</v>
      </c>
      <c r="AB238" s="352">
        <f>+Z238-AA238</f>
        <v>-74450646</v>
      </c>
      <c r="AC238" s="352">
        <f>IF(Z238=0,"0",IF(Z238&gt;0,Y238-Z238,))</f>
        <v>132450646</v>
      </c>
      <c r="AD238" s="352">
        <f>+R238-Y238+AB238</f>
        <v>47549354</v>
      </c>
      <c r="AG238" s="273"/>
      <c r="AH238" s="273"/>
    </row>
    <row r="239" spans="2:34" ht="15" customHeight="1" x14ac:dyDescent="0.2">
      <c r="B239" s="21" t="s">
        <v>7</v>
      </c>
      <c r="C239" s="22" t="s">
        <v>27</v>
      </c>
      <c r="D239" s="22" t="s">
        <v>8</v>
      </c>
      <c r="E239" s="22" t="s">
        <v>20</v>
      </c>
      <c r="F239" s="22"/>
      <c r="G239" s="22"/>
      <c r="H239" s="22"/>
      <c r="I239" s="22"/>
      <c r="J239" s="201"/>
      <c r="K239" s="21"/>
      <c r="L239" s="23" t="s">
        <v>75</v>
      </c>
      <c r="M239" s="23"/>
      <c r="N239" s="140"/>
      <c r="O239" s="163"/>
      <c r="P239" s="163"/>
      <c r="Q239" s="125">
        <f>+Q240+Q269+Q260+Q288</f>
        <v>7942000000</v>
      </c>
      <c r="R239" s="24">
        <f>+R240+R269+R288+R260</f>
        <v>7942000000</v>
      </c>
      <c r="S239" s="234"/>
      <c r="T239" s="25"/>
      <c r="U239" s="260"/>
      <c r="V239" s="306"/>
      <c r="W239" s="336"/>
      <c r="X239" s="24"/>
      <c r="Y239" s="24"/>
      <c r="Z239" s="364"/>
      <c r="AA239" s="364"/>
      <c r="AB239" s="364"/>
      <c r="AC239" s="364"/>
      <c r="AD239" s="364"/>
      <c r="AG239" s="273"/>
      <c r="AH239" s="273"/>
    </row>
    <row r="240" spans="2:34" ht="15" customHeight="1" x14ac:dyDescent="0.2">
      <c r="B240" s="13" t="s">
        <v>7</v>
      </c>
      <c r="C240" s="14" t="s">
        <v>27</v>
      </c>
      <c r="D240" s="14" t="s">
        <v>8</v>
      </c>
      <c r="E240" s="14" t="s">
        <v>20</v>
      </c>
      <c r="F240" s="14" t="s">
        <v>13</v>
      </c>
      <c r="G240" s="14"/>
      <c r="H240" s="14"/>
      <c r="I240" s="14"/>
      <c r="J240" s="195"/>
      <c r="K240" s="13"/>
      <c r="L240" s="15" t="s">
        <v>76</v>
      </c>
      <c r="M240" s="15"/>
      <c r="N240" s="131"/>
      <c r="O240" s="154"/>
      <c r="P240" s="154"/>
      <c r="Q240" s="125">
        <f>+Q241</f>
        <v>6489000000</v>
      </c>
      <c r="R240" s="16">
        <f>+R241</f>
        <v>6489000000</v>
      </c>
      <c r="S240" s="218"/>
      <c r="T240" s="17"/>
      <c r="U240" s="252"/>
      <c r="V240" s="299"/>
      <c r="W240" s="329"/>
      <c r="X240" s="16"/>
      <c r="Y240" s="16"/>
      <c r="Z240" s="353"/>
      <c r="AA240" s="353"/>
      <c r="AB240" s="353"/>
      <c r="AC240" s="353"/>
      <c r="AD240" s="353"/>
      <c r="AG240" s="273"/>
      <c r="AH240" s="273"/>
    </row>
    <row r="241" spans="2:34" ht="15" customHeight="1" x14ac:dyDescent="0.2">
      <c r="B241" s="31" t="s">
        <v>7</v>
      </c>
      <c r="C241" s="32" t="s">
        <v>27</v>
      </c>
      <c r="D241" s="32" t="s">
        <v>8</v>
      </c>
      <c r="E241" s="32" t="s">
        <v>20</v>
      </c>
      <c r="F241" s="32" t="s">
        <v>13</v>
      </c>
      <c r="G241" s="32" t="s">
        <v>12</v>
      </c>
      <c r="H241" s="32"/>
      <c r="I241" s="32"/>
      <c r="J241" s="202"/>
      <c r="K241" s="31"/>
      <c r="L241" s="33" t="s">
        <v>77</v>
      </c>
      <c r="M241" s="33"/>
      <c r="N241" s="141"/>
      <c r="O241" s="164"/>
      <c r="P241" s="164"/>
      <c r="Q241" s="125">
        <f>+Q242+Q253+Q257</f>
        <v>6489000000</v>
      </c>
      <c r="R241" s="34">
        <f>+R242+R253+R257</f>
        <v>6489000000</v>
      </c>
      <c r="S241" s="235"/>
      <c r="T241" s="35"/>
      <c r="U241" s="261"/>
      <c r="V241" s="307"/>
      <c r="W241" s="337"/>
      <c r="X241" s="34"/>
      <c r="Y241" s="34"/>
      <c r="Z241" s="365"/>
      <c r="AA241" s="365"/>
      <c r="AB241" s="365"/>
      <c r="AC241" s="365"/>
      <c r="AD241" s="365"/>
      <c r="AG241" s="273"/>
      <c r="AH241" s="273"/>
    </row>
    <row r="242" spans="2:34" ht="15" customHeight="1" x14ac:dyDescent="0.2">
      <c r="B242" s="11" t="s">
        <v>7</v>
      </c>
      <c r="C242" s="4" t="s">
        <v>27</v>
      </c>
      <c r="D242" s="4" t="s">
        <v>8</v>
      </c>
      <c r="E242" s="4" t="s">
        <v>20</v>
      </c>
      <c r="F242" s="4" t="s">
        <v>13</v>
      </c>
      <c r="G242" s="4" t="s">
        <v>12</v>
      </c>
      <c r="H242" s="4" t="s">
        <v>27</v>
      </c>
      <c r="I242" s="4"/>
      <c r="J242" s="197"/>
      <c r="K242" s="11"/>
      <c r="L242" s="6" t="s">
        <v>78</v>
      </c>
      <c r="M242" s="6"/>
      <c r="N242" s="133"/>
      <c r="O242" s="156"/>
      <c r="P242" s="156"/>
      <c r="Q242" s="125">
        <f>1418000000+3088000000+1000000000</f>
        <v>5506000000</v>
      </c>
      <c r="R242" s="5">
        <f>SUM(R243:R252)</f>
        <v>5470340000</v>
      </c>
      <c r="S242" s="183"/>
      <c r="T242" s="9"/>
      <c r="U242" s="245"/>
      <c r="V242" s="301"/>
      <c r="W242" s="331"/>
      <c r="X242" s="5"/>
      <c r="Y242" s="5"/>
      <c r="Z242" s="355"/>
      <c r="AA242" s="355"/>
      <c r="AB242" s="355"/>
      <c r="AC242" s="355"/>
      <c r="AD242" s="355"/>
      <c r="AG242" s="273"/>
      <c r="AH242" s="273"/>
    </row>
    <row r="243" spans="2:34" ht="45" customHeight="1" x14ac:dyDescent="0.2">
      <c r="B243" s="623"/>
      <c r="C243" s="624"/>
      <c r="D243" s="624"/>
      <c r="E243" s="624"/>
      <c r="F243" s="624"/>
      <c r="G243" s="624"/>
      <c r="H243" s="624"/>
      <c r="I243" s="624"/>
      <c r="J243" s="624"/>
      <c r="K243" s="177" t="s">
        <v>335</v>
      </c>
      <c r="L243" s="178" t="s">
        <v>199</v>
      </c>
      <c r="M243" s="134">
        <v>43905</v>
      </c>
      <c r="N243" s="134">
        <v>43966</v>
      </c>
      <c r="O243" s="157" t="s">
        <v>311</v>
      </c>
      <c r="P243" s="157" t="s">
        <v>336</v>
      </c>
      <c r="Q243" s="125"/>
      <c r="R243" s="101">
        <v>1959340000</v>
      </c>
      <c r="S243" s="182" t="s">
        <v>386</v>
      </c>
      <c r="T243" s="102"/>
      <c r="U243" s="253" t="s">
        <v>221</v>
      </c>
      <c r="V243" s="302">
        <v>31720</v>
      </c>
      <c r="W243" s="332">
        <v>43986</v>
      </c>
      <c r="X243" s="174">
        <v>1959340000</v>
      </c>
      <c r="Y243" s="174">
        <v>1959340000</v>
      </c>
      <c r="Z243" s="352">
        <v>0</v>
      </c>
      <c r="AA243" s="352">
        <f t="shared" ref="AA243:AA252" si="19">+R243-Y243</f>
        <v>0</v>
      </c>
      <c r="AB243" s="352">
        <f t="shared" ref="AB243:AB252" si="20">+Z243-AA243</f>
        <v>0</v>
      </c>
      <c r="AC243" s="352" t="str">
        <f t="shared" ref="AC243:AC252" si="21">IF(Z243=0,"0",IF(Z243&gt;0,Y243-Z243,))</f>
        <v>0</v>
      </c>
      <c r="AD243" s="352">
        <f t="shared" ref="AD243:AD252" si="22">+R243-Y243+AB243</f>
        <v>0</v>
      </c>
      <c r="AG243" s="273"/>
      <c r="AH243" s="273"/>
    </row>
    <row r="244" spans="2:34" ht="45" customHeight="1" x14ac:dyDescent="0.2">
      <c r="B244" s="625"/>
      <c r="C244" s="626"/>
      <c r="D244" s="626"/>
      <c r="E244" s="626"/>
      <c r="F244" s="626"/>
      <c r="G244" s="626"/>
      <c r="H244" s="626"/>
      <c r="I244" s="626"/>
      <c r="J244" s="626"/>
      <c r="K244" s="176" t="s">
        <v>335</v>
      </c>
      <c r="L244" s="179" t="s">
        <v>225</v>
      </c>
      <c r="M244" s="179"/>
      <c r="N244" s="135">
        <v>43966</v>
      </c>
      <c r="O244" s="158" t="s">
        <v>296</v>
      </c>
      <c r="P244" s="158"/>
      <c r="Q244" s="125"/>
      <c r="R244" s="111">
        <v>1120000000</v>
      </c>
      <c r="S244" s="184"/>
      <c r="T244" s="112"/>
      <c r="U244" s="254" t="s">
        <v>221</v>
      </c>
      <c r="V244" s="302">
        <v>3420</v>
      </c>
      <c r="W244" s="332">
        <v>43844</v>
      </c>
      <c r="X244" s="174">
        <v>1120000000</v>
      </c>
      <c r="Y244" s="174">
        <v>1120000000</v>
      </c>
      <c r="Z244" s="352">
        <v>1120000000</v>
      </c>
      <c r="AA244" s="352">
        <f t="shared" si="19"/>
        <v>0</v>
      </c>
      <c r="AB244" s="352">
        <f t="shared" si="20"/>
        <v>1120000000</v>
      </c>
      <c r="AC244" s="352">
        <f t="shared" si="21"/>
        <v>0</v>
      </c>
      <c r="AD244" s="352">
        <f t="shared" si="22"/>
        <v>1120000000</v>
      </c>
      <c r="AG244" s="273"/>
      <c r="AH244" s="273"/>
    </row>
    <row r="245" spans="2:34" ht="45" customHeight="1" x14ac:dyDescent="0.2">
      <c r="B245" s="625"/>
      <c r="C245" s="626"/>
      <c r="D245" s="626"/>
      <c r="E245" s="626"/>
      <c r="F245" s="626"/>
      <c r="G245" s="626"/>
      <c r="H245" s="626"/>
      <c r="I245" s="626"/>
      <c r="J245" s="626"/>
      <c r="K245" s="177" t="s">
        <v>335</v>
      </c>
      <c r="L245" s="178" t="s">
        <v>198</v>
      </c>
      <c r="M245" s="134">
        <v>43905</v>
      </c>
      <c r="N245" s="134">
        <v>43966</v>
      </c>
      <c r="O245" s="157" t="s">
        <v>301</v>
      </c>
      <c r="P245" s="157" t="s">
        <v>336</v>
      </c>
      <c r="Q245" s="125"/>
      <c r="R245" s="101">
        <v>800000000</v>
      </c>
      <c r="S245" s="182" t="s">
        <v>322</v>
      </c>
      <c r="T245" s="101">
        <v>1920000000</v>
      </c>
      <c r="U245" s="253" t="s">
        <v>221</v>
      </c>
      <c r="V245" s="302"/>
      <c r="W245" s="332"/>
      <c r="X245" s="174"/>
      <c r="Y245" s="174"/>
      <c r="Z245" s="352"/>
      <c r="AA245" s="352">
        <f t="shared" si="19"/>
        <v>800000000</v>
      </c>
      <c r="AB245" s="352">
        <f t="shared" si="20"/>
        <v>-800000000</v>
      </c>
      <c r="AC245" s="352" t="str">
        <f t="shared" si="21"/>
        <v>0</v>
      </c>
      <c r="AD245" s="352">
        <f t="shared" si="22"/>
        <v>0</v>
      </c>
      <c r="AG245" s="273"/>
      <c r="AH245" s="273"/>
    </row>
    <row r="246" spans="2:34" ht="45" customHeight="1" x14ac:dyDescent="0.2">
      <c r="B246" s="625"/>
      <c r="C246" s="626"/>
      <c r="D246" s="626"/>
      <c r="E246" s="626"/>
      <c r="F246" s="626"/>
      <c r="G246" s="626"/>
      <c r="H246" s="626"/>
      <c r="I246" s="626"/>
      <c r="J246" s="626"/>
      <c r="K246" s="176" t="s">
        <v>315</v>
      </c>
      <c r="L246" s="179" t="s">
        <v>226</v>
      </c>
      <c r="M246" s="179"/>
      <c r="N246" s="135">
        <v>43983</v>
      </c>
      <c r="O246" s="158" t="s">
        <v>296</v>
      </c>
      <c r="P246" s="158"/>
      <c r="Q246" s="125"/>
      <c r="R246" s="391">
        <v>146730769</v>
      </c>
      <c r="S246" s="184"/>
      <c r="T246" s="112"/>
      <c r="U246" s="254" t="s">
        <v>221</v>
      </c>
      <c r="V246" s="302">
        <v>3320</v>
      </c>
      <c r="W246" s="332">
        <v>43844</v>
      </c>
      <c r="X246" s="174">
        <v>152600000</v>
      </c>
      <c r="Y246" s="174">
        <v>152600000</v>
      </c>
      <c r="Z246" s="174">
        <v>152600000</v>
      </c>
      <c r="AA246" s="352">
        <f t="shared" si="19"/>
        <v>-5869231</v>
      </c>
      <c r="AB246" s="352">
        <f t="shared" si="20"/>
        <v>158469231</v>
      </c>
      <c r="AC246" s="352">
        <f t="shared" si="21"/>
        <v>0</v>
      </c>
      <c r="AD246" s="352">
        <f t="shared" si="22"/>
        <v>152600000</v>
      </c>
      <c r="AG246" s="273"/>
      <c r="AH246" s="273"/>
    </row>
    <row r="247" spans="2:34" ht="45" customHeight="1" x14ac:dyDescent="0.2">
      <c r="B247" s="625"/>
      <c r="C247" s="626"/>
      <c r="D247" s="626"/>
      <c r="E247" s="626"/>
      <c r="F247" s="626"/>
      <c r="G247" s="626"/>
      <c r="H247" s="626"/>
      <c r="I247" s="626"/>
      <c r="J247" s="626"/>
      <c r="K247" s="177" t="s">
        <v>315</v>
      </c>
      <c r="L247" s="178" t="s">
        <v>203</v>
      </c>
      <c r="M247" s="134">
        <v>43952</v>
      </c>
      <c r="N247" s="134">
        <v>43983</v>
      </c>
      <c r="O247" s="157" t="s">
        <v>301</v>
      </c>
      <c r="P247" s="157" t="s">
        <v>317</v>
      </c>
      <c r="Q247" s="125"/>
      <c r="R247" s="101">
        <v>125269231</v>
      </c>
      <c r="S247" s="182" t="s">
        <v>322</v>
      </c>
      <c r="T247" s="101">
        <v>300646154.39999998</v>
      </c>
      <c r="U247" s="253" t="s">
        <v>221</v>
      </c>
      <c r="V247" s="302"/>
      <c r="W247" s="332"/>
      <c r="X247" s="174"/>
      <c r="Y247" s="174"/>
      <c r="Z247" s="352"/>
      <c r="AA247" s="352">
        <f t="shared" si="19"/>
        <v>125269231</v>
      </c>
      <c r="AB247" s="352">
        <f t="shared" si="20"/>
        <v>-125269231</v>
      </c>
      <c r="AC247" s="352" t="str">
        <f t="shared" si="21"/>
        <v>0</v>
      </c>
      <c r="AD247" s="352">
        <f t="shared" si="22"/>
        <v>0</v>
      </c>
      <c r="AG247" s="273"/>
      <c r="AH247" s="273"/>
    </row>
    <row r="248" spans="2:34" ht="45" customHeight="1" x14ac:dyDescent="0.2">
      <c r="B248" s="625"/>
      <c r="C248" s="626"/>
      <c r="D248" s="626"/>
      <c r="E248" s="626"/>
      <c r="F248" s="626"/>
      <c r="G248" s="626"/>
      <c r="H248" s="626"/>
      <c r="I248" s="626"/>
      <c r="J248" s="626"/>
      <c r="K248" s="109">
        <v>72154100</v>
      </c>
      <c r="L248" s="110" t="s">
        <v>223</v>
      </c>
      <c r="M248" s="110"/>
      <c r="N248" s="135">
        <v>43983</v>
      </c>
      <c r="O248" s="158" t="s">
        <v>296</v>
      </c>
      <c r="P248" s="158" t="s">
        <v>317</v>
      </c>
      <c r="Q248" s="125"/>
      <c r="R248" s="111">
        <f>162400000+125600000</f>
        <v>288000000</v>
      </c>
      <c r="S248" s="184"/>
      <c r="T248" s="112"/>
      <c r="U248" s="254" t="s">
        <v>221</v>
      </c>
      <c r="V248" s="302" t="s">
        <v>446</v>
      </c>
      <c r="W248" s="332" t="s">
        <v>447</v>
      </c>
      <c r="X248" s="174">
        <f>15500000+146900000</f>
        <v>162400000</v>
      </c>
      <c r="Y248" s="174">
        <f>15500000+272500000</f>
        <v>288000000</v>
      </c>
      <c r="Z248" s="352">
        <f>125600000+15500000</f>
        <v>141100000</v>
      </c>
      <c r="AA248" s="352">
        <f t="shared" si="19"/>
        <v>0</v>
      </c>
      <c r="AB248" s="352">
        <f t="shared" si="20"/>
        <v>141100000</v>
      </c>
      <c r="AC248" s="352">
        <f t="shared" si="21"/>
        <v>146900000</v>
      </c>
      <c r="AD248" s="352">
        <f t="shared" si="22"/>
        <v>141100000</v>
      </c>
      <c r="AG248" s="273"/>
      <c r="AH248" s="273"/>
    </row>
    <row r="249" spans="2:34" ht="45" customHeight="1" x14ac:dyDescent="0.2">
      <c r="B249" s="625"/>
      <c r="C249" s="626"/>
      <c r="D249" s="626"/>
      <c r="E249" s="626"/>
      <c r="F249" s="626"/>
      <c r="G249" s="626"/>
      <c r="H249" s="626"/>
      <c r="I249" s="626"/>
      <c r="J249" s="626"/>
      <c r="K249" s="99">
        <v>72154100</v>
      </c>
      <c r="L249" s="100" t="s">
        <v>201</v>
      </c>
      <c r="M249" s="134">
        <v>43834</v>
      </c>
      <c r="N249" s="134">
        <v>43862</v>
      </c>
      <c r="O249" s="157" t="s">
        <v>301</v>
      </c>
      <c r="P249" s="157" t="s">
        <v>317</v>
      </c>
      <c r="Q249" s="125"/>
      <c r="R249" s="101">
        <f>125600000-125600000</f>
        <v>0</v>
      </c>
      <c r="S249" s="182" t="s">
        <v>322</v>
      </c>
      <c r="T249" s="101">
        <v>301440000</v>
      </c>
      <c r="U249" s="253" t="s">
        <v>221</v>
      </c>
      <c r="V249" s="302"/>
      <c r="W249" s="332"/>
      <c r="X249" s="174"/>
      <c r="Y249" s="174"/>
      <c r="Z249" s="352"/>
      <c r="AA249" s="352">
        <f t="shared" si="19"/>
        <v>0</v>
      </c>
      <c r="AB249" s="352">
        <f t="shared" si="20"/>
        <v>0</v>
      </c>
      <c r="AC249" s="352" t="str">
        <f t="shared" si="21"/>
        <v>0</v>
      </c>
      <c r="AD249" s="352">
        <f t="shared" si="22"/>
        <v>0</v>
      </c>
      <c r="AG249" s="273"/>
      <c r="AH249" s="273"/>
    </row>
    <row r="250" spans="2:34" ht="45" customHeight="1" x14ac:dyDescent="0.2">
      <c r="B250" s="625"/>
      <c r="C250" s="626"/>
      <c r="D250" s="626"/>
      <c r="E250" s="626"/>
      <c r="F250" s="626"/>
      <c r="G250" s="626"/>
      <c r="H250" s="626"/>
      <c r="I250" s="626"/>
      <c r="J250" s="626"/>
      <c r="K250" s="176" t="s">
        <v>316</v>
      </c>
      <c r="L250" s="110" t="s">
        <v>224</v>
      </c>
      <c r="M250" s="110"/>
      <c r="N250" s="135">
        <v>43983</v>
      </c>
      <c r="O250" s="158" t="s">
        <v>296</v>
      </c>
      <c r="P250" s="158"/>
      <c r="Q250" s="125"/>
      <c r="R250" s="111">
        <v>14000000</v>
      </c>
      <c r="S250" s="184"/>
      <c r="T250" s="112"/>
      <c r="U250" s="254" t="s">
        <v>221</v>
      </c>
      <c r="V250" s="302">
        <v>3920</v>
      </c>
      <c r="W250" s="332">
        <v>43844</v>
      </c>
      <c r="X250" s="174">
        <v>14000000</v>
      </c>
      <c r="Y250" s="174">
        <v>14000000</v>
      </c>
      <c r="Z250" s="352">
        <v>14000000</v>
      </c>
      <c r="AA250" s="352">
        <f t="shared" si="19"/>
        <v>0</v>
      </c>
      <c r="AB250" s="352">
        <f t="shared" si="20"/>
        <v>14000000</v>
      </c>
      <c r="AC250" s="352">
        <f t="shared" si="21"/>
        <v>0</v>
      </c>
      <c r="AD250" s="352">
        <f t="shared" si="22"/>
        <v>14000000</v>
      </c>
      <c r="AG250" s="273"/>
      <c r="AH250" s="273"/>
    </row>
    <row r="251" spans="2:34" ht="45" customHeight="1" x14ac:dyDescent="0.2">
      <c r="B251" s="625"/>
      <c r="C251" s="626"/>
      <c r="D251" s="626"/>
      <c r="E251" s="626"/>
      <c r="F251" s="626"/>
      <c r="G251" s="626"/>
      <c r="H251" s="626"/>
      <c r="I251" s="626"/>
      <c r="J251" s="626"/>
      <c r="K251" s="177" t="s">
        <v>316</v>
      </c>
      <c r="L251" s="100" t="s">
        <v>202</v>
      </c>
      <c r="M251" s="134">
        <v>43952</v>
      </c>
      <c r="N251" s="134">
        <v>43983</v>
      </c>
      <c r="O251" s="157" t="s">
        <v>301</v>
      </c>
      <c r="P251" s="157" t="s">
        <v>319</v>
      </c>
      <c r="Q251" s="125"/>
      <c r="R251" s="101">
        <v>17000000</v>
      </c>
      <c r="S251" s="182" t="s">
        <v>322</v>
      </c>
      <c r="T251" s="101">
        <v>40800000</v>
      </c>
      <c r="U251" s="253" t="s">
        <v>221</v>
      </c>
      <c r="V251" s="302">
        <v>27420</v>
      </c>
      <c r="W251" s="332">
        <v>43962</v>
      </c>
      <c r="X251" s="174">
        <v>17000000</v>
      </c>
      <c r="Y251" s="174">
        <v>17000000</v>
      </c>
      <c r="Z251" s="352">
        <v>0</v>
      </c>
      <c r="AA251" s="352">
        <f>+R251-Y251</f>
        <v>0</v>
      </c>
      <c r="AB251" s="352">
        <f>+Z251-AA251</f>
        <v>0</v>
      </c>
      <c r="AC251" s="352" t="str">
        <f>IF(Z251=0,"0",IF(Z251&gt;0,Y251-Z251,))</f>
        <v>0</v>
      </c>
      <c r="AD251" s="352">
        <f>+R251-Y251+AB251</f>
        <v>0</v>
      </c>
      <c r="AG251" s="273"/>
      <c r="AH251" s="273"/>
    </row>
    <row r="252" spans="2:34" ht="45" customHeight="1" x14ac:dyDescent="0.2">
      <c r="B252" s="625"/>
      <c r="C252" s="626"/>
      <c r="D252" s="626"/>
      <c r="E252" s="626"/>
      <c r="F252" s="626"/>
      <c r="G252" s="626"/>
      <c r="H252" s="626"/>
      <c r="I252" s="626"/>
      <c r="J252" s="626"/>
      <c r="K252" s="99"/>
      <c r="L252" s="100" t="s">
        <v>213</v>
      </c>
      <c r="M252" s="100"/>
      <c r="N252" s="134" t="s">
        <v>375</v>
      </c>
      <c r="O252" s="157" t="s">
        <v>375</v>
      </c>
      <c r="P252" s="157" t="s">
        <v>375</v>
      </c>
      <c r="Q252" s="125"/>
      <c r="R252" s="101">
        <v>1000000000</v>
      </c>
      <c r="S252" s="182"/>
      <c r="T252" s="102"/>
      <c r="U252" s="253" t="s">
        <v>221</v>
      </c>
      <c r="V252" s="302"/>
      <c r="W252" s="332"/>
      <c r="X252" s="174"/>
      <c r="Y252" s="174"/>
      <c r="Z252" s="352"/>
      <c r="AA252" s="352">
        <f t="shared" si="19"/>
        <v>1000000000</v>
      </c>
      <c r="AB252" s="352">
        <f t="shared" si="20"/>
        <v>-1000000000</v>
      </c>
      <c r="AC252" s="352" t="str">
        <f t="shared" si="21"/>
        <v>0</v>
      </c>
      <c r="AD252" s="352">
        <f t="shared" si="22"/>
        <v>0</v>
      </c>
      <c r="AG252" s="273"/>
      <c r="AH252" s="273"/>
    </row>
    <row r="253" spans="2:34" ht="15" customHeight="1" x14ac:dyDescent="0.2">
      <c r="B253" s="11" t="s">
        <v>7</v>
      </c>
      <c r="C253" s="4" t="s">
        <v>27</v>
      </c>
      <c r="D253" s="4" t="s">
        <v>8</v>
      </c>
      <c r="E253" s="4" t="s">
        <v>20</v>
      </c>
      <c r="F253" s="4" t="s">
        <v>13</v>
      </c>
      <c r="G253" s="4" t="s">
        <v>12</v>
      </c>
      <c r="H253" s="4" t="s">
        <v>28</v>
      </c>
      <c r="I253" s="4"/>
      <c r="J253" s="197"/>
      <c r="K253" s="11"/>
      <c r="L253" s="6" t="s">
        <v>79</v>
      </c>
      <c r="M253" s="6"/>
      <c r="N253" s="133"/>
      <c r="O253" s="156"/>
      <c r="P253" s="156"/>
      <c r="Q253" s="125">
        <v>50000000</v>
      </c>
      <c r="R253" s="5">
        <f>SUM(R254:R256)</f>
        <v>121060000</v>
      </c>
      <c r="S253" s="181"/>
      <c r="T253" s="9"/>
      <c r="U253" s="245"/>
      <c r="V253" s="301"/>
      <c r="W253" s="331"/>
      <c r="X253" s="5"/>
      <c r="Y253" s="5"/>
      <c r="Z253" s="355"/>
      <c r="AA253" s="355"/>
      <c r="AB253" s="355"/>
      <c r="AC253" s="355"/>
      <c r="AD253" s="355"/>
      <c r="AG253" s="273"/>
      <c r="AH253" s="273"/>
    </row>
    <row r="254" spans="2:34" ht="45" customHeight="1" x14ac:dyDescent="0.2">
      <c r="B254" s="623"/>
      <c r="C254" s="624"/>
      <c r="D254" s="624"/>
      <c r="E254" s="624"/>
      <c r="F254" s="624"/>
      <c r="G254" s="624"/>
      <c r="H254" s="624"/>
      <c r="I254" s="624"/>
      <c r="J254" s="624"/>
      <c r="K254" s="109"/>
      <c r="L254" s="110" t="s">
        <v>227</v>
      </c>
      <c r="M254" s="110"/>
      <c r="N254" s="135"/>
      <c r="O254" s="158" t="s">
        <v>296</v>
      </c>
      <c r="P254" s="158"/>
      <c r="Q254" s="125"/>
      <c r="R254" s="111">
        <v>42000000</v>
      </c>
      <c r="S254" s="184"/>
      <c r="T254" s="112"/>
      <c r="U254" s="254" t="s">
        <v>181</v>
      </c>
      <c r="V254" s="302">
        <v>3620</v>
      </c>
      <c r="W254" s="332">
        <v>43844</v>
      </c>
      <c r="X254" s="174">
        <v>42000000</v>
      </c>
      <c r="Y254" s="174">
        <v>42000000</v>
      </c>
      <c r="Z254" s="352">
        <v>42000000</v>
      </c>
      <c r="AA254" s="352">
        <f>+R254-Y254</f>
        <v>0</v>
      </c>
      <c r="AB254" s="352">
        <f>+Z254-AA254</f>
        <v>42000000</v>
      </c>
      <c r="AC254" s="352">
        <f>IF(Z254=0,"0",IF(Z254&gt;0,Y254-Z254,))</f>
        <v>0</v>
      </c>
      <c r="AD254" s="352">
        <f>+R254-Y254+AB254</f>
        <v>42000000</v>
      </c>
      <c r="AG254" s="273"/>
      <c r="AH254" s="273"/>
    </row>
    <row r="255" spans="2:34" ht="45" customHeight="1" x14ac:dyDescent="0.2">
      <c r="B255" s="625"/>
      <c r="C255" s="626"/>
      <c r="D255" s="626"/>
      <c r="E255" s="626"/>
      <c r="F255" s="626"/>
      <c r="G255" s="626"/>
      <c r="H255" s="626"/>
      <c r="I255" s="626"/>
      <c r="J255" s="626"/>
      <c r="K255" s="99">
        <v>46171600</v>
      </c>
      <c r="L255" s="100" t="s">
        <v>228</v>
      </c>
      <c r="M255" s="134">
        <v>43936</v>
      </c>
      <c r="N255" s="134">
        <v>43966</v>
      </c>
      <c r="O255" s="157" t="s">
        <v>301</v>
      </c>
      <c r="P255" s="157" t="s">
        <v>319</v>
      </c>
      <c r="Q255" s="125"/>
      <c r="R255" s="101">
        <v>30000000</v>
      </c>
      <c r="S255" s="182" t="s">
        <v>322</v>
      </c>
      <c r="T255" s="101">
        <v>74000000</v>
      </c>
      <c r="U255" s="253" t="s">
        <v>181</v>
      </c>
      <c r="V255" s="302"/>
      <c r="W255" s="332"/>
      <c r="X255" s="174"/>
      <c r="Y255" s="174"/>
      <c r="Z255" s="352"/>
      <c r="AA255" s="352"/>
      <c r="AB255" s="352"/>
      <c r="AC255" s="352"/>
      <c r="AD255" s="352"/>
      <c r="AG255" s="273"/>
      <c r="AH255" s="273"/>
    </row>
    <row r="256" spans="2:34" ht="41.25" customHeight="1" x14ac:dyDescent="0.2">
      <c r="B256" s="625"/>
      <c r="C256" s="626"/>
      <c r="D256" s="626"/>
      <c r="E256" s="626"/>
      <c r="F256" s="626"/>
      <c r="G256" s="626"/>
      <c r="H256" s="626"/>
      <c r="I256" s="626"/>
      <c r="J256" s="626"/>
      <c r="K256" s="99">
        <v>72101500</v>
      </c>
      <c r="L256" s="100" t="s">
        <v>216</v>
      </c>
      <c r="M256" s="134">
        <v>43833</v>
      </c>
      <c r="N256" s="134">
        <v>43840</v>
      </c>
      <c r="O256" s="157" t="s">
        <v>324</v>
      </c>
      <c r="P256" s="157" t="s">
        <v>338</v>
      </c>
      <c r="Q256" s="125"/>
      <c r="R256" s="101">
        <v>49060000</v>
      </c>
      <c r="S256" s="182" t="s">
        <v>386</v>
      </c>
      <c r="T256" s="102"/>
      <c r="U256" s="253" t="s">
        <v>221</v>
      </c>
      <c r="V256" s="302">
        <v>620</v>
      </c>
      <c r="W256" s="332">
        <v>43833</v>
      </c>
      <c r="X256" s="174">
        <v>49060000</v>
      </c>
      <c r="Y256" s="174">
        <v>49060000</v>
      </c>
      <c r="Z256" s="352">
        <v>49060000</v>
      </c>
      <c r="AA256" s="352">
        <f>+R256-Y256</f>
        <v>0</v>
      </c>
      <c r="AB256" s="352">
        <f>+Z256-AA256</f>
        <v>49060000</v>
      </c>
      <c r="AC256" s="352">
        <f>IF(Z256=0,"0",IF(Z256&gt;0,Y256-Z256,))</f>
        <v>0</v>
      </c>
      <c r="AD256" s="352">
        <f>+R256-Y256+AB256</f>
        <v>49060000</v>
      </c>
      <c r="AG256" s="273"/>
      <c r="AH256" s="273"/>
    </row>
    <row r="257" spans="2:34" ht="15" customHeight="1" x14ac:dyDescent="0.2">
      <c r="B257" s="11" t="s">
        <v>7</v>
      </c>
      <c r="C257" s="4" t="s">
        <v>27</v>
      </c>
      <c r="D257" s="4" t="s">
        <v>8</v>
      </c>
      <c r="E257" s="4" t="s">
        <v>20</v>
      </c>
      <c r="F257" s="4" t="s">
        <v>13</v>
      </c>
      <c r="G257" s="4" t="s">
        <v>12</v>
      </c>
      <c r="H257" s="4" t="s">
        <v>29</v>
      </c>
      <c r="I257" s="4"/>
      <c r="J257" s="197"/>
      <c r="K257" s="11"/>
      <c r="L257" s="6" t="s">
        <v>80</v>
      </c>
      <c r="M257" s="6"/>
      <c r="N257" s="133"/>
      <c r="O257" s="156"/>
      <c r="P257" s="156"/>
      <c r="Q257" s="125">
        <f>415000000+518000000</f>
        <v>933000000</v>
      </c>
      <c r="R257" s="5">
        <f>SUM(R258:R259)</f>
        <v>897600000</v>
      </c>
      <c r="S257" s="183"/>
      <c r="T257" s="9"/>
      <c r="U257" s="245"/>
      <c r="V257" s="301"/>
      <c r="W257" s="331"/>
      <c r="X257" s="5"/>
      <c r="Y257" s="5"/>
      <c r="Z257" s="355"/>
      <c r="AA257" s="355"/>
      <c r="AB257" s="355"/>
      <c r="AC257" s="355"/>
      <c r="AD257" s="355"/>
      <c r="AG257" s="273"/>
      <c r="AH257" s="273"/>
    </row>
    <row r="258" spans="2:34" ht="30" customHeight="1" x14ac:dyDescent="0.2">
      <c r="B258" s="623"/>
      <c r="C258" s="624"/>
      <c r="D258" s="624"/>
      <c r="E258" s="624"/>
      <c r="F258" s="624"/>
      <c r="G258" s="624"/>
      <c r="H258" s="624"/>
      <c r="I258" s="624"/>
      <c r="J258" s="624"/>
      <c r="K258" s="99">
        <v>72101500</v>
      </c>
      <c r="L258" s="178" t="s">
        <v>214</v>
      </c>
      <c r="M258" s="134">
        <v>43833</v>
      </c>
      <c r="N258" s="134">
        <v>43840</v>
      </c>
      <c r="O258" s="157" t="s">
        <v>324</v>
      </c>
      <c r="P258" s="157" t="s">
        <v>338</v>
      </c>
      <c r="Q258" s="125"/>
      <c r="R258" s="101">
        <v>528000000</v>
      </c>
      <c r="S258" s="182" t="s">
        <v>386</v>
      </c>
      <c r="T258" s="102"/>
      <c r="U258" s="253" t="s">
        <v>221</v>
      </c>
      <c r="V258" s="302">
        <v>520</v>
      </c>
      <c r="W258" s="332">
        <v>43833</v>
      </c>
      <c r="X258" s="174">
        <v>528000000</v>
      </c>
      <c r="Y258" s="174">
        <v>528000000</v>
      </c>
      <c r="Z258" s="352">
        <v>528000000</v>
      </c>
      <c r="AA258" s="352">
        <f>+R258-Y258</f>
        <v>0</v>
      </c>
      <c r="AB258" s="352">
        <f>+Z258-AA258</f>
        <v>528000000</v>
      </c>
      <c r="AC258" s="352">
        <f>IF(Z258=0,"0",IF(Z258&gt;0,Y258-Z258,))</f>
        <v>0</v>
      </c>
      <c r="AD258" s="352">
        <f>+R258-Y258+AB258</f>
        <v>528000000</v>
      </c>
      <c r="AG258" s="273"/>
      <c r="AH258" s="273"/>
    </row>
    <row r="259" spans="2:34" ht="45" customHeight="1" x14ac:dyDescent="0.2">
      <c r="B259" s="625"/>
      <c r="C259" s="626"/>
      <c r="D259" s="626"/>
      <c r="E259" s="626"/>
      <c r="F259" s="626"/>
      <c r="G259" s="626"/>
      <c r="H259" s="626"/>
      <c r="I259" s="626"/>
      <c r="J259" s="626"/>
      <c r="K259" s="99">
        <v>72151300</v>
      </c>
      <c r="L259" s="178" t="s">
        <v>215</v>
      </c>
      <c r="M259" s="134">
        <v>43833</v>
      </c>
      <c r="N259" s="134">
        <v>43840</v>
      </c>
      <c r="O259" s="157" t="s">
        <v>324</v>
      </c>
      <c r="P259" s="157" t="s">
        <v>338</v>
      </c>
      <c r="Q259" s="125"/>
      <c r="R259" s="101">
        <f>369600000</f>
        <v>369600000</v>
      </c>
      <c r="S259" s="182" t="s">
        <v>386</v>
      </c>
      <c r="T259" s="102"/>
      <c r="U259" s="253" t="s">
        <v>221</v>
      </c>
      <c r="V259" s="302">
        <v>420</v>
      </c>
      <c r="W259" s="332">
        <v>43833</v>
      </c>
      <c r="X259" s="174">
        <v>369600000</v>
      </c>
      <c r="Y259" s="174">
        <v>369600000</v>
      </c>
      <c r="Z259" s="352">
        <v>369600000</v>
      </c>
      <c r="AA259" s="352">
        <f>+R259-Y259</f>
        <v>0</v>
      </c>
      <c r="AB259" s="352">
        <f>+Z259-AA259</f>
        <v>369600000</v>
      </c>
      <c r="AC259" s="352">
        <f>IF(Z259=0,"0",IF(Z259&gt;0,Y259-Z259,))</f>
        <v>0</v>
      </c>
      <c r="AD259" s="352">
        <f>+R259-Y259+AB259</f>
        <v>369600000</v>
      </c>
      <c r="AG259" s="273"/>
      <c r="AH259" s="273"/>
    </row>
    <row r="260" spans="2:34" ht="30" customHeight="1" x14ac:dyDescent="0.2">
      <c r="B260" s="13" t="s">
        <v>7</v>
      </c>
      <c r="C260" s="14" t="s">
        <v>27</v>
      </c>
      <c r="D260" s="14" t="s">
        <v>8</v>
      </c>
      <c r="E260" s="14" t="s">
        <v>20</v>
      </c>
      <c r="F260" s="14" t="s">
        <v>15</v>
      </c>
      <c r="G260" s="14"/>
      <c r="H260" s="14"/>
      <c r="I260" s="14"/>
      <c r="J260" s="195"/>
      <c r="K260" s="13"/>
      <c r="L260" s="15" t="s">
        <v>86</v>
      </c>
      <c r="M260" s="15"/>
      <c r="N260" s="131"/>
      <c r="O260" s="154"/>
      <c r="P260" s="154"/>
      <c r="Q260" s="125">
        <f>+Q265</f>
        <v>0</v>
      </c>
      <c r="R260" s="16">
        <f>+R265+R261</f>
        <v>42000000</v>
      </c>
      <c r="S260" s="14"/>
      <c r="T260" s="17"/>
      <c r="U260" s="252"/>
      <c r="V260" s="299"/>
      <c r="W260" s="329"/>
      <c r="X260" s="16"/>
      <c r="Y260" s="16"/>
      <c r="Z260" s="353"/>
      <c r="AA260" s="353"/>
      <c r="AB260" s="353"/>
      <c r="AC260" s="353"/>
      <c r="AD260" s="353"/>
      <c r="AG260" s="273"/>
      <c r="AH260" s="273"/>
    </row>
    <row r="261" spans="2:34" ht="15" customHeight="1" x14ac:dyDescent="0.2">
      <c r="B261" s="31" t="s">
        <v>7</v>
      </c>
      <c r="C261" s="32" t="s">
        <v>27</v>
      </c>
      <c r="D261" s="32" t="s">
        <v>8</v>
      </c>
      <c r="E261" s="32" t="s">
        <v>20</v>
      </c>
      <c r="F261" s="32" t="s">
        <v>15</v>
      </c>
      <c r="G261" s="284" t="s">
        <v>9</v>
      </c>
      <c r="H261" s="32"/>
      <c r="I261" s="32"/>
      <c r="J261" s="32"/>
      <c r="K261" s="31"/>
      <c r="L261" s="33" t="s">
        <v>139</v>
      </c>
      <c r="M261" s="33"/>
      <c r="N261" s="141"/>
      <c r="O261" s="164"/>
      <c r="P261" s="164"/>
      <c r="Q261" s="34"/>
      <c r="R261" s="34">
        <f>+R262</f>
        <v>42000000</v>
      </c>
      <c r="S261" s="32"/>
      <c r="T261" s="35"/>
      <c r="U261" s="261"/>
      <c r="V261" s="307"/>
      <c r="W261" s="337"/>
      <c r="X261" s="34"/>
      <c r="Y261" s="34"/>
      <c r="Z261" s="365"/>
      <c r="AA261" s="365"/>
      <c r="AB261" s="365"/>
      <c r="AC261" s="365"/>
      <c r="AD261" s="365"/>
      <c r="AG261" s="273"/>
      <c r="AH261" s="273"/>
    </row>
    <row r="262" spans="2:34" s="285" customFormat="1" ht="30" customHeight="1" x14ac:dyDescent="0.2">
      <c r="B262" s="286" t="s">
        <v>7</v>
      </c>
      <c r="C262" s="233" t="s">
        <v>27</v>
      </c>
      <c r="D262" s="233" t="s">
        <v>8</v>
      </c>
      <c r="E262" s="233" t="s">
        <v>20</v>
      </c>
      <c r="F262" s="233" t="s">
        <v>15</v>
      </c>
      <c r="G262" s="233" t="s">
        <v>9</v>
      </c>
      <c r="H262" s="233" t="s">
        <v>23</v>
      </c>
      <c r="I262" s="233"/>
      <c r="J262" s="287"/>
      <c r="K262" s="11"/>
      <c r="L262" s="6" t="s">
        <v>87</v>
      </c>
      <c r="M262" s="6"/>
      <c r="N262" s="133"/>
      <c r="O262" s="156"/>
      <c r="P262" s="156"/>
      <c r="Q262" s="5"/>
      <c r="R262" s="5">
        <f>+R263</f>
        <v>42000000</v>
      </c>
      <c r="S262" s="4"/>
      <c r="T262" s="288"/>
      <c r="U262" s="289"/>
      <c r="V262" s="301"/>
      <c r="W262" s="331"/>
      <c r="X262" s="5"/>
      <c r="Y262" s="5"/>
      <c r="Z262" s="355"/>
      <c r="AA262" s="355"/>
      <c r="AB262" s="355"/>
      <c r="AC262" s="355"/>
      <c r="AD262" s="355"/>
      <c r="AG262" s="290"/>
      <c r="AH262" s="290"/>
    </row>
    <row r="263" spans="2:34" s="285" customFormat="1" ht="15" customHeight="1" x14ac:dyDescent="0.2">
      <c r="B263" s="286" t="s">
        <v>7</v>
      </c>
      <c r="C263" s="233" t="s">
        <v>27</v>
      </c>
      <c r="D263" s="233" t="s">
        <v>8</v>
      </c>
      <c r="E263" s="233" t="s">
        <v>20</v>
      </c>
      <c r="F263" s="233" t="s">
        <v>15</v>
      </c>
      <c r="G263" s="233" t="s">
        <v>9</v>
      </c>
      <c r="H263" s="233" t="s">
        <v>23</v>
      </c>
      <c r="I263" s="233" t="s">
        <v>32</v>
      </c>
      <c r="J263" s="287"/>
      <c r="K263" s="11"/>
      <c r="L263" s="6" t="s">
        <v>413</v>
      </c>
      <c r="M263" s="6"/>
      <c r="N263" s="133"/>
      <c r="O263" s="156"/>
      <c r="P263" s="156"/>
      <c r="Q263" s="5"/>
      <c r="R263" s="5">
        <f>+R264</f>
        <v>42000000</v>
      </c>
      <c r="S263" s="4"/>
      <c r="T263" s="288"/>
      <c r="U263" s="289"/>
      <c r="V263" s="301"/>
      <c r="W263" s="331"/>
      <c r="X263" s="5"/>
      <c r="Y263" s="5"/>
      <c r="Z263" s="355"/>
      <c r="AA263" s="355"/>
      <c r="AB263" s="355"/>
      <c r="AC263" s="355"/>
      <c r="AD263" s="355"/>
      <c r="AG263" s="290"/>
      <c r="AH263" s="290"/>
    </row>
    <row r="264" spans="2:34" s="285" customFormat="1" ht="30" customHeight="1" x14ac:dyDescent="0.2">
      <c r="B264" s="291"/>
      <c r="C264" s="292"/>
      <c r="D264" s="292"/>
      <c r="E264" s="292"/>
      <c r="F264" s="292"/>
      <c r="G264" s="292"/>
      <c r="H264" s="292"/>
      <c r="I264" s="292"/>
      <c r="J264" s="293"/>
      <c r="K264" s="99"/>
      <c r="L264" s="100" t="s">
        <v>414</v>
      </c>
      <c r="M264" s="100"/>
      <c r="N264" s="134"/>
      <c r="O264" s="157"/>
      <c r="P264" s="157"/>
      <c r="Q264" s="101"/>
      <c r="R264" s="101">
        <v>42000000</v>
      </c>
      <c r="S264" s="182"/>
      <c r="T264" s="102"/>
      <c r="U264" s="253"/>
      <c r="V264" s="301">
        <v>12520</v>
      </c>
      <c r="W264" s="331">
        <v>43871</v>
      </c>
      <c r="X264" s="5">
        <v>42000000</v>
      </c>
      <c r="Y264" s="5">
        <v>42000000</v>
      </c>
      <c r="Z264" s="355">
        <v>13363959</v>
      </c>
      <c r="AA264" s="358">
        <f>+R264-Y264</f>
        <v>0</v>
      </c>
      <c r="AB264" s="358">
        <f>+Z264-AA264</f>
        <v>13363959</v>
      </c>
      <c r="AC264" s="358">
        <f>IF(Z264=0,"0",IF(Z264&gt;0,Y264-Z264,))</f>
        <v>28636041</v>
      </c>
      <c r="AD264" s="358">
        <f>+R264-Y264+AB264</f>
        <v>13363959</v>
      </c>
      <c r="AG264" s="290"/>
      <c r="AH264" s="290"/>
    </row>
    <row r="265" spans="2:34" ht="15" customHeight="1" x14ac:dyDescent="0.2">
      <c r="B265" s="31" t="s">
        <v>7</v>
      </c>
      <c r="C265" s="32" t="s">
        <v>27</v>
      </c>
      <c r="D265" s="32" t="s">
        <v>8</v>
      </c>
      <c r="E265" s="32" t="s">
        <v>20</v>
      </c>
      <c r="F265" s="32" t="s">
        <v>15</v>
      </c>
      <c r="G265" s="32" t="s">
        <v>10</v>
      </c>
      <c r="H265" s="32"/>
      <c r="I265" s="32"/>
      <c r="J265" s="202"/>
      <c r="K265" s="31"/>
      <c r="L265" s="33" t="s">
        <v>388</v>
      </c>
      <c r="M265" s="33"/>
      <c r="N265" s="141"/>
      <c r="O265" s="164"/>
      <c r="P265" s="164"/>
      <c r="Q265" s="125">
        <f>+Q266</f>
        <v>0</v>
      </c>
      <c r="R265" s="34">
        <f>+R266</f>
        <v>0</v>
      </c>
      <c r="S265" s="32"/>
      <c r="T265" s="35"/>
      <c r="U265" s="261"/>
      <c r="V265" s="307"/>
      <c r="W265" s="337"/>
      <c r="X265" s="34"/>
      <c r="Y265" s="34"/>
      <c r="Z265" s="365"/>
      <c r="AA265" s="365"/>
      <c r="AB265" s="365"/>
      <c r="AC265" s="365"/>
      <c r="AD265" s="365"/>
      <c r="AG265" s="273"/>
      <c r="AH265" s="273"/>
    </row>
    <row r="266" spans="2:34" ht="15" customHeight="1" x14ac:dyDescent="0.2">
      <c r="B266" s="11" t="s">
        <v>7</v>
      </c>
      <c r="C266" s="4" t="s">
        <v>27</v>
      </c>
      <c r="D266" s="4" t="s">
        <v>8</v>
      </c>
      <c r="E266" s="4" t="s">
        <v>20</v>
      </c>
      <c r="F266" s="4" t="s">
        <v>15</v>
      </c>
      <c r="G266" s="4" t="s">
        <v>10</v>
      </c>
      <c r="H266" s="4" t="s">
        <v>20</v>
      </c>
      <c r="I266" s="4"/>
      <c r="J266" s="197"/>
      <c r="K266" s="11"/>
      <c r="L266" s="6" t="s">
        <v>389</v>
      </c>
      <c r="M266" s="6"/>
      <c r="N266" s="133"/>
      <c r="O266" s="156"/>
      <c r="P266" s="156"/>
      <c r="Q266" s="125">
        <f>SUM(Q267:Q267)</f>
        <v>0</v>
      </c>
      <c r="R266" s="5">
        <f>SUM(R267:R267)</f>
        <v>0</v>
      </c>
      <c r="S266" s="181"/>
      <c r="T266" s="9"/>
      <c r="U266" s="245"/>
      <c r="V266" s="301"/>
      <c r="W266" s="331"/>
      <c r="X266" s="5"/>
      <c r="Y266" s="5"/>
      <c r="Z266" s="355"/>
      <c r="AA266" s="355"/>
      <c r="AB266" s="355"/>
      <c r="AC266" s="355"/>
      <c r="AD266" s="355"/>
      <c r="AG266" s="273"/>
      <c r="AH266" s="273"/>
    </row>
    <row r="267" spans="2:34" ht="30" customHeight="1" x14ac:dyDescent="0.2">
      <c r="B267" s="11" t="s">
        <v>7</v>
      </c>
      <c r="C267" s="4" t="s">
        <v>27</v>
      </c>
      <c r="D267" s="4" t="s">
        <v>8</v>
      </c>
      <c r="E267" s="4" t="s">
        <v>20</v>
      </c>
      <c r="F267" s="4" t="s">
        <v>15</v>
      </c>
      <c r="G267" s="4" t="s">
        <v>10</v>
      </c>
      <c r="H267" s="4" t="s">
        <v>20</v>
      </c>
      <c r="I267" s="4" t="s">
        <v>21</v>
      </c>
      <c r="J267" s="197"/>
      <c r="K267" s="11"/>
      <c r="L267" s="189" t="s">
        <v>390</v>
      </c>
      <c r="M267" s="189"/>
      <c r="N267" s="133"/>
      <c r="O267" s="156"/>
      <c r="P267" s="156"/>
      <c r="Q267" s="125">
        <v>0</v>
      </c>
      <c r="R267" s="5">
        <f>+R268</f>
        <v>0</v>
      </c>
      <c r="S267" s="181"/>
      <c r="T267" s="9"/>
      <c r="U267" s="245"/>
      <c r="V267" s="301"/>
      <c r="W267" s="331"/>
      <c r="X267" s="5"/>
      <c r="Y267" s="5"/>
      <c r="Z267" s="355"/>
      <c r="AA267" s="355"/>
      <c r="AB267" s="355"/>
      <c r="AC267" s="355"/>
      <c r="AD267" s="355"/>
      <c r="AG267" s="273"/>
      <c r="AH267" s="273"/>
    </row>
    <row r="268" spans="2:34" ht="15" customHeight="1" x14ac:dyDescent="0.2">
      <c r="B268" s="623"/>
      <c r="C268" s="624"/>
      <c r="D268" s="624"/>
      <c r="E268" s="624"/>
      <c r="F268" s="624"/>
      <c r="G268" s="624"/>
      <c r="H268" s="624"/>
      <c r="I268" s="624"/>
      <c r="J268" s="624"/>
      <c r="K268" s="236"/>
      <c r="L268" s="237"/>
      <c r="M268" s="237"/>
      <c r="N268" s="238"/>
      <c r="O268" s="239"/>
      <c r="P268" s="239"/>
      <c r="Q268" s="125"/>
      <c r="R268" s="240"/>
      <c r="S268" s="236"/>
      <c r="T268" s="240"/>
      <c r="U268" s="241"/>
      <c r="V268" s="308"/>
      <c r="W268" s="338"/>
      <c r="X268" s="272"/>
      <c r="Y268" s="272"/>
      <c r="Z268" s="366"/>
      <c r="AA268" s="366"/>
      <c r="AB268" s="366"/>
      <c r="AC268" s="366"/>
      <c r="AD268" s="366"/>
      <c r="AG268" s="273"/>
      <c r="AH268" s="273"/>
    </row>
    <row r="269" spans="2:34" ht="15" customHeight="1" x14ac:dyDescent="0.2">
      <c r="B269" s="13" t="s">
        <v>7</v>
      </c>
      <c r="C269" s="14" t="s">
        <v>27</v>
      </c>
      <c r="D269" s="14" t="s">
        <v>8</v>
      </c>
      <c r="E269" s="14" t="s">
        <v>20</v>
      </c>
      <c r="F269" s="14" t="s">
        <v>16</v>
      </c>
      <c r="G269" s="14"/>
      <c r="H269" s="14"/>
      <c r="I269" s="14"/>
      <c r="J269" s="195"/>
      <c r="K269" s="13"/>
      <c r="L269" s="15" t="s">
        <v>91</v>
      </c>
      <c r="M269" s="15"/>
      <c r="N269" s="131"/>
      <c r="O269" s="154"/>
      <c r="P269" s="154"/>
      <c r="Q269" s="125">
        <f>+Q270+Q275+Q278</f>
        <v>1408000000</v>
      </c>
      <c r="R269" s="16">
        <f>+R270+R275+R278</f>
        <v>1366000000</v>
      </c>
      <c r="S269" s="218">
        <f>+Q269-R269</f>
        <v>42000000</v>
      </c>
      <c r="T269" s="17"/>
      <c r="U269" s="252"/>
      <c r="V269" s="299"/>
      <c r="W269" s="329"/>
      <c r="X269" s="16"/>
      <c r="Y269" s="16"/>
      <c r="Z269" s="353"/>
      <c r="AA269" s="353"/>
      <c r="AB269" s="353"/>
      <c r="AC269" s="353"/>
      <c r="AD269" s="353"/>
      <c r="AG269" s="273"/>
      <c r="AH269" s="273"/>
    </row>
    <row r="270" spans="2:34" ht="15" customHeight="1" x14ac:dyDescent="0.2">
      <c r="B270" s="31" t="s">
        <v>7</v>
      </c>
      <c r="C270" s="32" t="s">
        <v>27</v>
      </c>
      <c r="D270" s="32" t="s">
        <v>8</v>
      </c>
      <c r="E270" s="32" t="s">
        <v>20</v>
      </c>
      <c r="F270" s="32" t="s">
        <v>16</v>
      </c>
      <c r="G270" s="32" t="s">
        <v>11</v>
      </c>
      <c r="H270" s="32"/>
      <c r="I270" s="32"/>
      <c r="J270" s="202"/>
      <c r="K270" s="31"/>
      <c r="L270" s="33" t="s">
        <v>95</v>
      </c>
      <c r="M270" s="33"/>
      <c r="N270" s="141"/>
      <c r="O270" s="164"/>
      <c r="P270" s="164"/>
      <c r="Q270" s="125">
        <f>+Q271</f>
        <v>28000000</v>
      </c>
      <c r="R270" s="34">
        <f>+R271</f>
        <v>132300000</v>
      </c>
      <c r="S270" s="32"/>
      <c r="T270" s="35"/>
      <c r="U270" s="261"/>
      <c r="V270" s="307"/>
      <c r="W270" s="337"/>
      <c r="X270" s="34"/>
      <c r="Y270" s="34"/>
      <c r="Z270" s="365"/>
      <c r="AA270" s="365"/>
      <c r="AB270" s="365"/>
      <c r="AC270" s="365"/>
      <c r="AD270" s="365"/>
      <c r="AG270" s="273"/>
      <c r="AH270" s="273"/>
    </row>
    <row r="271" spans="2:34" ht="30" customHeight="1" x14ac:dyDescent="0.2">
      <c r="B271" s="11" t="s">
        <v>7</v>
      </c>
      <c r="C271" s="4" t="s">
        <v>27</v>
      </c>
      <c r="D271" s="4" t="s">
        <v>8</v>
      </c>
      <c r="E271" s="4" t="s">
        <v>20</v>
      </c>
      <c r="F271" s="4" t="s">
        <v>16</v>
      </c>
      <c r="G271" s="4" t="s">
        <v>11</v>
      </c>
      <c r="H271" s="4" t="s">
        <v>8</v>
      </c>
      <c r="I271" s="4"/>
      <c r="J271" s="197"/>
      <c r="K271" s="11"/>
      <c r="L271" s="6" t="s">
        <v>122</v>
      </c>
      <c r="M271" s="6"/>
      <c r="N271" s="133"/>
      <c r="O271" s="156"/>
      <c r="P271" s="156"/>
      <c r="Q271" s="125">
        <f>SUM(Q272:Q272)</f>
        <v>28000000</v>
      </c>
      <c r="R271" s="5">
        <f>SUM(R272:R272)</f>
        <v>132300000</v>
      </c>
      <c r="S271" s="181"/>
      <c r="T271" s="9"/>
      <c r="U271" s="245"/>
      <c r="V271" s="301"/>
      <c r="W271" s="331"/>
      <c r="X271" s="5"/>
      <c r="Y271" s="5"/>
      <c r="Z271" s="355"/>
      <c r="AA271" s="355"/>
      <c r="AB271" s="355"/>
      <c r="AC271" s="355"/>
      <c r="AD271" s="355"/>
      <c r="AG271" s="273"/>
      <c r="AH271" s="273"/>
    </row>
    <row r="272" spans="2:34" ht="15.6" customHeight="1" x14ac:dyDescent="0.2">
      <c r="B272" s="11" t="s">
        <v>7</v>
      </c>
      <c r="C272" s="4" t="s">
        <v>27</v>
      </c>
      <c r="D272" s="4" t="s">
        <v>8</v>
      </c>
      <c r="E272" s="4" t="s">
        <v>20</v>
      </c>
      <c r="F272" s="4" t="s">
        <v>16</v>
      </c>
      <c r="G272" s="4" t="s">
        <v>11</v>
      </c>
      <c r="H272" s="4" t="s">
        <v>8</v>
      </c>
      <c r="I272" s="4" t="s">
        <v>21</v>
      </c>
      <c r="J272" s="197"/>
      <c r="K272" s="11"/>
      <c r="L272" s="6" t="s">
        <v>96</v>
      </c>
      <c r="M272" s="6"/>
      <c r="N272" s="133"/>
      <c r="O272" s="156"/>
      <c r="P272" s="156"/>
      <c r="Q272" s="125">
        <v>28000000</v>
      </c>
      <c r="R272" s="5">
        <f>SUM(R273:R274)</f>
        <v>132300000</v>
      </c>
      <c r="S272" s="181"/>
      <c r="T272" s="9"/>
      <c r="U272" s="245"/>
      <c r="V272" s="301"/>
      <c r="W272" s="331"/>
      <c r="X272" s="5"/>
      <c r="Y272" s="5"/>
      <c r="Z272" s="355"/>
      <c r="AA272" s="355"/>
      <c r="AB272" s="355"/>
      <c r="AC272" s="355"/>
      <c r="AD272" s="355"/>
      <c r="AG272" s="273"/>
      <c r="AH272" s="273"/>
    </row>
    <row r="273" spans="2:34" ht="45" customHeight="1" x14ac:dyDescent="0.2">
      <c r="B273" s="623"/>
      <c r="C273" s="624"/>
      <c r="D273" s="624"/>
      <c r="E273" s="624"/>
      <c r="F273" s="624"/>
      <c r="G273" s="624"/>
      <c r="H273" s="624"/>
      <c r="I273" s="624"/>
      <c r="J273" s="624"/>
      <c r="K273" s="99">
        <v>80101500</v>
      </c>
      <c r="L273" s="100" t="s">
        <v>205</v>
      </c>
      <c r="M273" s="134">
        <v>43833</v>
      </c>
      <c r="N273" s="134">
        <v>43840</v>
      </c>
      <c r="O273" s="157" t="s">
        <v>324</v>
      </c>
      <c r="P273" s="157" t="s">
        <v>338</v>
      </c>
      <c r="Q273" s="125"/>
      <c r="R273" s="101">
        <v>40150000</v>
      </c>
      <c r="S273" s="182" t="s">
        <v>386</v>
      </c>
      <c r="T273" s="102"/>
      <c r="U273" s="253" t="s">
        <v>221</v>
      </c>
      <c r="V273" s="302">
        <v>320</v>
      </c>
      <c r="W273" s="332">
        <v>43833</v>
      </c>
      <c r="X273" s="174">
        <v>40150000</v>
      </c>
      <c r="Y273" s="174">
        <v>40150000</v>
      </c>
      <c r="Z273" s="352">
        <v>40150000</v>
      </c>
      <c r="AA273" s="352">
        <f>+R273-Y273</f>
        <v>0</v>
      </c>
      <c r="AB273" s="352">
        <f>+Z273-AA273</f>
        <v>40150000</v>
      </c>
      <c r="AC273" s="352">
        <f>IF(Z273=0,"0",IF(Z273&gt;0,Y273-Z273,))</f>
        <v>0</v>
      </c>
      <c r="AD273" s="352">
        <f>+R273-Y273+AB273</f>
        <v>40150000</v>
      </c>
      <c r="AG273" s="273"/>
      <c r="AH273" s="273"/>
    </row>
    <row r="274" spans="2:34" ht="60" customHeight="1" x14ac:dyDescent="0.2">
      <c r="B274" s="231"/>
      <c r="C274" s="232"/>
      <c r="D274" s="232"/>
      <c r="E274" s="232"/>
      <c r="F274" s="232"/>
      <c r="G274" s="232"/>
      <c r="H274" s="232"/>
      <c r="I274" s="232"/>
      <c r="J274" s="232"/>
      <c r="K274" s="99">
        <v>83112400</v>
      </c>
      <c r="L274" s="100" t="s">
        <v>391</v>
      </c>
      <c r="M274" s="157" t="s">
        <v>375</v>
      </c>
      <c r="N274" s="134">
        <v>43832</v>
      </c>
      <c r="O274" s="157" t="s">
        <v>301</v>
      </c>
      <c r="P274" s="157" t="s">
        <v>375</v>
      </c>
      <c r="Q274" s="125"/>
      <c r="R274" s="101">
        <v>92150000</v>
      </c>
      <c r="S274" s="182" t="s">
        <v>386</v>
      </c>
      <c r="T274" s="102"/>
      <c r="U274" s="253" t="s">
        <v>272</v>
      </c>
      <c r="V274" s="302" t="s">
        <v>448</v>
      </c>
      <c r="W274" s="332" t="s">
        <v>449</v>
      </c>
      <c r="X274" s="174">
        <f>4860000+5600000+2592000+12960000+4736000+4860000</f>
        <v>35608000</v>
      </c>
      <c r="Y274" s="174">
        <v>35608000</v>
      </c>
      <c r="Z274" s="352">
        <v>35608000</v>
      </c>
      <c r="AA274" s="352">
        <f>+R274-Y274</f>
        <v>56542000</v>
      </c>
      <c r="AB274" s="352">
        <f>+Z274-AA274</f>
        <v>-20934000</v>
      </c>
      <c r="AC274" s="352">
        <f>IF(Z274=0,"0",IF(Z274&gt;0,Y274-Z274,))</f>
        <v>0</v>
      </c>
      <c r="AD274" s="352">
        <f>+R274-Y274+AB274</f>
        <v>35608000</v>
      </c>
      <c r="AG274" s="273"/>
      <c r="AH274" s="273"/>
    </row>
    <row r="275" spans="2:34" ht="15" customHeight="1" x14ac:dyDescent="0.2">
      <c r="B275" s="31" t="s">
        <v>7</v>
      </c>
      <c r="C275" s="32" t="s">
        <v>27</v>
      </c>
      <c r="D275" s="32" t="s">
        <v>8</v>
      </c>
      <c r="E275" s="32" t="s">
        <v>20</v>
      </c>
      <c r="F275" s="32" t="s">
        <v>16</v>
      </c>
      <c r="G275" s="32" t="s">
        <v>13</v>
      </c>
      <c r="H275" s="32"/>
      <c r="I275" s="32"/>
      <c r="J275" s="202"/>
      <c r="K275" s="31"/>
      <c r="L275" s="33" t="s">
        <v>104</v>
      </c>
      <c r="M275" s="33"/>
      <c r="N275" s="141"/>
      <c r="O275" s="164"/>
      <c r="P275" s="164"/>
      <c r="Q275" s="125">
        <f>+Q276</f>
        <v>1020000000</v>
      </c>
      <c r="R275" s="34">
        <f>+R276</f>
        <v>1020000000</v>
      </c>
      <c r="S275" s="235"/>
      <c r="T275" s="35"/>
      <c r="U275" s="261"/>
      <c r="V275" s="307"/>
      <c r="W275" s="337"/>
      <c r="X275" s="34"/>
      <c r="Y275" s="34"/>
      <c r="Z275" s="365"/>
      <c r="AA275" s="365"/>
      <c r="AB275" s="365"/>
      <c r="AC275" s="365"/>
      <c r="AD275" s="365"/>
      <c r="AG275" s="273"/>
      <c r="AH275" s="273"/>
    </row>
    <row r="276" spans="2:34" ht="15" customHeight="1" x14ac:dyDescent="0.2">
      <c r="B276" s="11" t="s">
        <v>7</v>
      </c>
      <c r="C276" s="4" t="s">
        <v>27</v>
      </c>
      <c r="D276" s="4" t="s">
        <v>8</v>
      </c>
      <c r="E276" s="4" t="s">
        <v>20</v>
      </c>
      <c r="F276" s="4" t="s">
        <v>16</v>
      </c>
      <c r="G276" s="4" t="s">
        <v>13</v>
      </c>
      <c r="H276" s="4" t="s">
        <v>23</v>
      </c>
      <c r="I276" s="4"/>
      <c r="J276" s="197"/>
      <c r="K276" s="11"/>
      <c r="L276" s="6" t="s">
        <v>105</v>
      </c>
      <c r="M276" s="6"/>
      <c r="N276" s="133"/>
      <c r="O276" s="156"/>
      <c r="P276" s="156"/>
      <c r="Q276" s="125">
        <f>90000000+930000000</f>
        <v>1020000000</v>
      </c>
      <c r="R276" s="5">
        <f>SUM(R277)</f>
        <v>1020000000</v>
      </c>
      <c r="S276" s="183"/>
      <c r="T276" s="9"/>
      <c r="U276" s="245"/>
      <c r="V276" s="301"/>
      <c r="W276" s="331"/>
      <c r="X276" s="5"/>
      <c r="Y276" s="5"/>
      <c r="Z276" s="355"/>
      <c r="AA276" s="355"/>
      <c r="AB276" s="355"/>
      <c r="AC276" s="355"/>
      <c r="AD276" s="355"/>
      <c r="AG276" s="273"/>
      <c r="AH276" s="273"/>
    </row>
    <row r="277" spans="2:34" ht="30" customHeight="1" x14ac:dyDescent="0.2">
      <c r="B277" s="623"/>
      <c r="C277" s="624"/>
      <c r="D277" s="624"/>
      <c r="E277" s="624"/>
      <c r="F277" s="624"/>
      <c r="G277" s="624"/>
      <c r="H277" s="624"/>
      <c r="I277" s="624"/>
      <c r="J277" s="624"/>
      <c r="K277" s="99">
        <v>76111500</v>
      </c>
      <c r="L277" s="100" t="s">
        <v>207</v>
      </c>
      <c r="M277" s="134">
        <v>43814</v>
      </c>
      <c r="N277" s="134">
        <v>43833</v>
      </c>
      <c r="O277" s="157" t="s">
        <v>301</v>
      </c>
      <c r="P277" s="157" t="s">
        <v>340</v>
      </c>
      <c r="Q277" s="125"/>
      <c r="R277" s="101">
        <v>1020000000</v>
      </c>
      <c r="S277" s="182" t="s">
        <v>386</v>
      </c>
      <c r="T277" s="102"/>
      <c r="U277" s="253" t="s">
        <v>221</v>
      </c>
      <c r="V277" s="302">
        <v>920</v>
      </c>
      <c r="W277" s="332">
        <v>43833</v>
      </c>
      <c r="X277" s="174">
        <v>1020000000</v>
      </c>
      <c r="Y277" s="174">
        <v>1020000000</v>
      </c>
      <c r="Z277" s="352">
        <v>845196056.07000005</v>
      </c>
      <c r="AA277" s="352">
        <f>+R277-Y277</f>
        <v>0</v>
      </c>
      <c r="AB277" s="352">
        <f>+Z277-AA277</f>
        <v>845196056.07000005</v>
      </c>
      <c r="AC277" s="352">
        <f>IF(Z277=0,"0",IF(Z277&gt;0,Y277-Z277,))</f>
        <v>174803943.92999995</v>
      </c>
      <c r="AD277" s="352">
        <f>+R277-Y277+AB277</f>
        <v>845196056.07000005</v>
      </c>
      <c r="AG277" s="273"/>
      <c r="AH277" s="273"/>
    </row>
    <row r="278" spans="2:34" ht="30" customHeight="1" x14ac:dyDescent="0.2">
      <c r="B278" s="31" t="s">
        <v>7</v>
      </c>
      <c r="C278" s="32" t="s">
        <v>27</v>
      </c>
      <c r="D278" s="32" t="s">
        <v>8</v>
      </c>
      <c r="E278" s="32" t="s">
        <v>20</v>
      </c>
      <c r="F278" s="32" t="s">
        <v>16</v>
      </c>
      <c r="G278" s="32" t="s">
        <v>15</v>
      </c>
      <c r="H278" s="32"/>
      <c r="I278" s="32"/>
      <c r="J278" s="202"/>
      <c r="K278" s="31"/>
      <c r="L278" s="33" t="s">
        <v>106</v>
      </c>
      <c r="M278" s="33"/>
      <c r="N278" s="141"/>
      <c r="O278" s="164"/>
      <c r="P278" s="164"/>
      <c r="Q278" s="125">
        <f>+Q279+Q285</f>
        <v>360000000</v>
      </c>
      <c r="R278" s="34">
        <f>+R279+R285</f>
        <v>213700000</v>
      </c>
      <c r="S278" s="32"/>
      <c r="T278" s="35"/>
      <c r="U278" s="261"/>
      <c r="V278" s="307"/>
      <c r="W278" s="337"/>
      <c r="X278" s="34"/>
      <c r="Y278" s="34"/>
      <c r="Z278" s="365"/>
      <c r="AA278" s="365"/>
      <c r="AB278" s="365"/>
      <c r="AC278" s="365"/>
      <c r="AD278" s="365"/>
      <c r="AG278" s="273"/>
      <c r="AH278" s="273"/>
    </row>
    <row r="279" spans="2:34" ht="30" customHeight="1" x14ac:dyDescent="0.2">
      <c r="B279" s="11" t="s">
        <v>7</v>
      </c>
      <c r="C279" s="4" t="s">
        <v>27</v>
      </c>
      <c r="D279" s="4" t="s">
        <v>8</v>
      </c>
      <c r="E279" s="4" t="s">
        <v>20</v>
      </c>
      <c r="F279" s="4" t="s">
        <v>16</v>
      </c>
      <c r="G279" s="4" t="s">
        <v>15</v>
      </c>
      <c r="H279" s="4" t="s">
        <v>8</v>
      </c>
      <c r="I279" s="4"/>
      <c r="J279" s="197"/>
      <c r="K279" s="11"/>
      <c r="L279" s="6" t="s">
        <v>107</v>
      </c>
      <c r="M279" s="6"/>
      <c r="N279" s="133"/>
      <c r="O279" s="156"/>
      <c r="P279" s="156"/>
      <c r="Q279" s="125">
        <f>SUM(Q280:Q280)</f>
        <v>337000000</v>
      </c>
      <c r="R279" s="5">
        <f>SUM(R280:R280)</f>
        <v>213700000</v>
      </c>
      <c r="S279" s="181"/>
      <c r="T279" s="9"/>
      <c r="U279" s="245"/>
      <c r="V279" s="301"/>
      <c r="W279" s="331"/>
      <c r="X279" s="5"/>
      <c r="Y279" s="5"/>
      <c r="Z279" s="355"/>
      <c r="AA279" s="355"/>
      <c r="AB279" s="355"/>
      <c r="AC279" s="355"/>
      <c r="AD279" s="355"/>
      <c r="AG279" s="273"/>
      <c r="AH279" s="273"/>
    </row>
    <row r="280" spans="2:34" ht="30" customHeight="1" x14ac:dyDescent="0.2">
      <c r="B280" s="11" t="s">
        <v>7</v>
      </c>
      <c r="C280" s="4" t="s">
        <v>27</v>
      </c>
      <c r="D280" s="4" t="s">
        <v>8</v>
      </c>
      <c r="E280" s="4" t="s">
        <v>20</v>
      </c>
      <c r="F280" s="4" t="s">
        <v>16</v>
      </c>
      <c r="G280" s="4" t="s">
        <v>15</v>
      </c>
      <c r="H280" s="4" t="s">
        <v>8</v>
      </c>
      <c r="I280" s="4" t="s">
        <v>34</v>
      </c>
      <c r="J280" s="197"/>
      <c r="K280" s="11"/>
      <c r="L280" s="189" t="s">
        <v>108</v>
      </c>
      <c r="M280" s="189"/>
      <c r="N280" s="133"/>
      <c r="O280" s="156"/>
      <c r="P280" s="156"/>
      <c r="Q280" s="125">
        <f>288000000+31000000+18000000</f>
        <v>337000000</v>
      </c>
      <c r="R280" s="5">
        <f>SUM(R281:R284)</f>
        <v>213700000</v>
      </c>
      <c r="S280" s="183"/>
      <c r="T280" s="9"/>
      <c r="U280" s="245"/>
      <c r="V280" s="301"/>
      <c r="W280" s="331"/>
      <c r="X280" s="5"/>
      <c r="Y280" s="5"/>
      <c r="Z280" s="355"/>
      <c r="AA280" s="355"/>
      <c r="AB280" s="355"/>
      <c r="AC280" s="355"/>
      <c r="AD280" s="355"/>
      <c r="AG280" s="273"/>
      <c r="AH280" s="273"/>
    </row>
    <row r="281" spans="2:34" ht="30" customHeight="1" x14ac:dyDescent="0.2">
      <c r="B281" s="625"/>
      <c r="C281" s="626"/>
      <c r="D281" s="626"/>
      <c r="E281" s="626"/>
      <c r="F281" s="626"/>
      <c r="G281" s="626"/>
      <c r="H281" s="626"/>
      <c r="I281" s="626"/>
      <c r="J281" s="626"/>
      <c r="K281" s="99">
        <v>73152100</v>
      </c>
      <c r="L281" s="100" t="s">
        <v>204</v>
      </c>
      <c r="M281" s="134">
        <v>44013</v>
      </c>
      <c r="N281" s="134">
        <v>44044</v>
      </c>
      <c r="O281" s="157" t="s">
        <v>332</v>
      </c>
      <c r="P281" s="157" t="s">
        <v>318</v>
      </c>
      <c r="Q281" s="125"/>
      <c r="R281" s="101">
        <v>22000000</v>
      </c>
      <c r="S281" s="182" t="s">
        <v>386</v>
      </c>
      <c r="T281" s="102"/>
      <c r="U281" s="253" t="s">
        <v>221</v>
      </c>
      <c r="V281" s="302"/>
      <c r="W281" s="332"/>
      <c r="X281" s="174"/>
      <c r="Y281" s="174"/>
      <c r="Z281" s="352"/>
      <c r="AA281" s="352"/>
      <c r="AB281" s="352"/>
      <c r="AC281" s="352"/>
      <c r="AD281" s="352"/>
      <c r="AG281" s="273"/>
      <c r="AH281" s="273"/>
    </row>
    <row r="282" spans="2:34" ht="30" customHeight="1" x14ac:dyDescent="0.2">
      <c r="B282" s="229"/>
      <c r="C282" s="230"/>
      <c r="D282" s="230"/>
      <c r="E282" s="230"/>
      <c r="F282" s="230"/>
      <c r="G282" s="230"/>
      <c r="H282" s="230"/>
      <c r="I282" s="230"/>
      <c r="J282" s="230"/>
      <c r="K282" s="99">
        <v>72154000</v>
      </c>
      <c r="L282" s="178" t="s">
        <v>339</v>
      </c>
      <c r="M282" s="134">
        <v>43835</v>
      </c>
      <c r="N282" s="134">
        <v>43845</v>
      </c>
      <c r="O282" s="157" t="s">
        <v>324</v>
      </c>
      <c r="P282" s="157" t="s">
        <v>338</v>
      </c>
      <c r="Q282" s="125"/>
      <c r="R282" s="101">
        <v>24530000</v>
      </c>
      <c r="S282" s="182" t="s">
        <v>386</v>
      </c>
      <c r="T282" s="102"/>
      <c r="U282" s="253" t="s">
        <v>221</v>
      </c>
      <c r="V282" s="302">
        <v>720</v>
      </c>
      <c r="W282" s="332">
        <v>43833</v>
      </c>
      <c r="X282" s="174">
        <v>24530000</v>
      </c>
      <c r="Y282" s="174">
        <v>24530000</v>
      </c>
      <c r="Z282" s="352">
        <v>24530000</v>
      </c>
      <c r="AA282" s="352">
        <f>+R282-Y282</f>
        <v>0</v>
      </c>
      <c r="AB282" s="352">
        <f>+Z282-AA282</f>
        <v>24530000</v>
      </c>
      <c r="AC282" s="352">
        <f>IF(Z282=0,"0",IF(Z282&gt;0,Y282-Z282,))</f>
        <v>0</v>
      </c>
      <c r="AD282" s="352">
        <f>+R282-Y282+AB282</f>
        <v>24530000</v>
      </c>
      <c r="AG282" s="273"/>
      <c r="AH282" s="273"/>
    </row>
    <row r="283" spans="2:34" ht="30" customHeight="1" x14ac:dyDescent="0.2">
      <c r="B283" s="229"/>
      <c r="C283" s="230"/>
      <c r="D283" s="230"/>
      <c r="E283" s="230"/>
      <c r="F283" s="230"/>
      <c r="G283" s="230"/>
      <c r="H283" s="230"/>
      <c r="I283" s="230"/>
      <c r="J283" s="230"/>
      <c r="K283" s="99">
        <v>72152300</v>
      </c>
      <c r="L283" s="178" t="s">
        <v>396</v>
      </c>
      <c r="M283" s="134">
        <v>43835</v>
      </c>
      <c r="N283" s="134">
        <v>43845</v>
      </c>
      <c r="O283" s="157" t="s">
        <v>324</v>
      </c>
      <c r="P283" s="157" t="s">
        <v>338</v>
      </c>
      <c r="Q283" s="125"/>
      <c r="R283" s="101">
        <v>24530000</v>
      </c>
      <c r="S283" s="182" t="s">
        <v>386</v>
      </c>
      <c r="T283" s="102"/>
      <c r="U283" s="253" t="s">
        <v>221</v>
      </c>
      <c r="V283" s="302">
        <v>820</v>
      </c>
      <c r="W283" s="332">
        <v>43833</v>
      </c>
      <c r="X283" s="174">
        <v>24530000</v>
      </c>
      <c r="Y283" s="174">
        <v>24530000</v>
      </c>
      <c r="Z283" s="352">
        <v>24530000</v>
      </c>
      <c r="AA283" s="352">
        <f>+R283-Y283</f>
        <v>0</v>
      </c>
      <c r="AB283" s="352">
        <f>+Z283-AA283</f>
        <v>24530000</v>
      </c>
      <c r="AC283" s="352">
        <f>IF(Z283=0,"0",IF(Z283&gt;0,Y283-Z283,))</f>
        <v>0</v>
      </c>
      <c r="AD283" s="352">
        <f>+R283-Y283+AB283</f>
        <v>24530000</v>
      </c>
      <c r="AG283" s="273"/>
      <c r="AH283" s="273"/>
    </row>
    <row r="284" spans="2:34" ht="30" customHeight="1" x14ac:dyDescent="0.2">
      <c r="B284" s="229"/>
      <c r="C284" s="230"/>
      <c r="D284" s="230"/>
      <c r="E284" s="230"/>
      <c r="F284" s="230"/>
      <c r="G284" s="230"/>
      <c r="H284" s="230"/>
      <c r="I284" s="230"/>
      <c r="J284" s="230"/>
      <c r="K284" s="99">
        <v>72154000</v>
      </c>
      <c r="L284" s="100" t="s">
        <v>209</v>
      </c>
      <c r="M284" s="134">
        <v>43989</v>
      </c>
      <c r="N284" s="134">
        <v>44019</v>
      </c>
      <c r="O284" s="157" t="s">
        <v>337</v>
      </c>
      <c r="P284" s="157" t="s">
        <v>319</v>
      </c>
      <c r="Q284" s="125"/>
      <c r="R284" s="101">
        <f>130000000+38940000+15700000-42000000</f>
        <v>142640000</v>
      </c>
      <c r="S284" s="182" t="s">
        <v>386</v>
      </c>
      <c r="T284" s="102"/>
      <c r="U284" s="253" t="s">
        <v>221</v>
      </c>
      <c r="V284" s="302">
        <v>27320</v>
      </c>
      <c r="W284" s="332">
        <v>43943</v>
      </c>
      <c r="X284" s="174">
        <v>142640000</v>
      </c>
      <c r="Y284" s="174">
        <v>142640000</v>
      </c>
      <c r="Z284" s="352">
        <v>0</v>
      </c>
      <c r="AA284" s="352">
        <f>+R284-Y284</f>
        <v>0</v>
      </c>
      <c r="AB284" s="352">
        <f>+Z284-AA284</f>
        <v>0</v>
      </c>
      <c r="AC284" s="352" t="str">
        <f>IF(Z284=0,"0",IF(Z284&gt;0,Y284-Z284,))</f>
        <v>0</v>
      </c>
      <c r="AD284" s="352">
        <f>+R284-Y284+AB284</f>
        <v>0</v>
      </c>
      <c r="AG284" s="273"/>
      <c r="AH284" s="273"/>
    </row>
    <row r="285" spans="2:34" ht="30" customHeight="1" x14ac:dyDescent="0.2">
      <c r="B285" s="11" t="s">
        <v>7</v>
      </c>
      <c r="C285" s="4" t="s">
        <v>27</v>
      </c>
      <c r="D285" s="4" t="s">
        <v>8</v>
      </c>
      <c r="E285" s="4" t="s">
        <v>20</v>
      </c>
      <c r="F285" s="4" t="s">
        <v>16</v>
      </c>
      <c r="G285" s="4" t="s">
        <v>15</v>
      </c>
      <c r="H285" s="4" t="s">
        <v>23</v>
      </c>
      <c r="I285" s="4"/>
      <c r="J285" s="197"/>
      <c r="K285" s="11"/>
      <c r="L285" s="189" t="s">
        <v>109</v>
      </c>
      <c r="M285" s="189"/>
      <c r="N285" s="133"/>
      <c r="O285" s="156"/>
      <c r="P285" s="156"/>
      <c r="Q285" s="125">
        <f>SUM(Q286:Q286)</f>
        <v>23000000</v>
      </c>
      <c r="R285" s="5">
        <f>SUM(R286:R286)</f>
        <v>0</v>
      </c>
      <c r="S285" s="181"/>
      <c r="T285" s="9"/>
      <c r="U285" s="245"/>
      <c r="V285" s="301"/>
      <c r="W285" s="331"/>
      <c r="X285" s="5"/>
      <c r="Y285" s="5"/>
      <c r="Z285" s="355"/>
      <c r="AA285" s="355"/>
      <c r="AB285" s="355"/>
      <c r="AC285" s="355"/>
      <c r="AD285" s="355"/>
      <c r="AG285" s="273"/>
      <c r="AH285" s="273"/>
    </row>
    <row r="286" spans="2:34" ht="30" customHeight="1" x14ac:dyDescent="0.2">
      <c r="B286" s="11" t="s">
        <v>7</v>
      </c>
      <c r="C286" s="4" t="s">
        <v>27</v>
      </c>
      <c r="D286" s="4" t="s">
        <v>8</v>
      </c>
      <c r="E286" s="4" t="s">
        <v>20</v>
      </c>
      <c r="F286" s="4" t="s">
        <v>16</v>
      </c>
      <c r="G286" s="4" t="s">
        <v>15</v>
      </c>
      <c r="H286" s="4" t="s">
        <v>23</v>
      </c>
      <c r="I286" s="4" t="s">
        <v>21</v>
      </c>
      <c r="J286" s="197"/>
      <c r="K286" s="11"/>
      <c r="L286" s="6" t="s">
        <v>110</v>
      </c>
      <c r="M286" s="6"/>
      <c r="N286" s="133"/>
      <c r="O286" s="156"/>
      <c r="P286" s="156"/>
      <c r="Q286" s="125">
        <v>23000000</v>
      </c>
      <c r="R286" s="5">
        <f>SUM(R287:R287)</f>
        <v>0</v>
      </c>
      <c r="S286" s="181"/>
      <c r="T286" s="9"/>
      <c r="U286" s="245"/>
      <c r="V286" s="301"/>
      <c r="W286" s="331"/>
      <c r="X286" s="5"/>
      <c r="Y286" s="5"/>
      <c r="Z286" s="355"/>
      <c r="AA286" s="355"/>
      <c r="AB286" s="355"/>
      <c r="AC286" s="355"/>
      <c r="AD286" s="355"/>
      <c r="AG286" s="273"/>
      <c r="AH286" s="273"/>
    </row>
    <row r="287" spans="2:34" ht="15" customHeight="1" x14ac:dyDescent="0.2">
      <c r="B287" s="623"/>
      <c r="C287" s="624"/>
      <c r="D287" s="624"/>
      <c r="E287" s="624"/>
      <c r="F287" s="624"/>
      <c r="G287" s="624"/>
      <c r="H287" s="624"/>
      <c r="I287" s="624"/>
      <c r="J287" s="624"/>
      <c r="K287" s="99"/>
      <c r="L287" s="121"/>
      <c r="M287" s="134"/>
      <c r="N287" s="134"/>
      <c r="O287" s="157" t="s">
        <v>299</v>
      </c>
      <c r="P287" s="157" t="s">
        <v>318</v>
      </c>
      <c r="Q287" s="125"/>
      <c r="R287" s="101">
        <v>0</v>
      </c>
      <c r="S287" s="182" t="s">
        <v>386</v>
      </c>
      <c r="T287" s="102"/>
      <c r="U287" s="253" t="s">
        <v>221</v>
      </c>
      <c r="V287" s="302"/>
      <c r="W287" s="332"/>
      <c r="X287" s="174"/>
      <c r="Y287" s="174"/>
      <c r="Z287" s="352"/>
      <c r="AA287" s="352"/>
      <c r="AB287" s="352"/>
      <c r="AC287" s="352"/>
      <c r="AD287" s="352"/>
      <c r="AG287" s="273"/>
      <c r="AH287" s="273"/>
    </row>
    <row r="288" spans="2:34" ht="15" customHeight="1" x14ac:dyDescent="0.2">
      <c r="B288" s="13" t="s">
        <v>7</v>
      </c>
      <c r="C288" s="14" t="s">
        <v>27</v>
      </c>
      <c r="D288" s="14" t="s">
        <v>8</v>
      </c>
      <c r="E288" s="14" t="s">
        <v>20</v>
      </c>
      <c r="F288" s="14" t="s">
        <v>17</v>
      </c>
      <c r="G288" s="14"/>
      <c r="H288" s="14"/>
      <c r="I288" s="14"/>
      <c r="J288" s="195"/>
      <c r="K288" s="13"/>
      <c r="L288" s="15" t="s">
        <v>111</v>
      </c>
      <c r="M288" s="15"/>
      <c r="N288" s="131"/>
      <c r="O288" s="154"/>
      <c r="P288" s="154"/>
      <c r="Q288" s="125">
        <f>+Q292+Q289</f>
        <v>45000000</v>
      </c>
      <c r="R288" s="16">
        <f>+R292+R289</f>
        <v>45000000</v>
      </c>
      <c r="S288" s="14"/>
      <c r="T288" s="17"/>
      <c r="U288" s="252"/>
      <c r="V288" s="299"/>
      <c r="W288" s="329"/>
      <c r="X288" s="16"/>
      <c r="Y288" s="16"/>
      <c r="Z288" s="353"/>
      <c r="AA288" s="353"/>
      <c r="AB288" s="353"/>
      <c r="AC288" s="353"/>
      <c r="AD288" s="353"/>
      <c r="AG288" s="273"/>
      <c r="AH288" s="273"/>
    </row>
    <row r="289" spans="2:34" ht="15" customHeight="1" x14ac:dyDescent="0.2">
      <c r="B289" s="31" t="s">
        <v>7</v>
      </c>
      <c r="C289" s="32" t="s">
        <v>27</v>
      </c>
      <c r="D289" s="32" t="s">
        <v>8</v>
      </c>
      <c r="E289" s="32" t="s">
        <v>20</v>
      </c>
      <c r="F289" s="32" t="s">
        <v>17</v>
      </c>
      <c r="G289" s="32" t="s">
        <v>10</v>
      </c>
      <c r="H289" s="32"/>
      <c r="I289" s="32"/>
      <c r="J289" s="202"/>
      <c r="K289" s="31"/>
      <c r="L289" s="33" t="s">
        <v>112</v>
      </c>
      <c r="M289" s="33"/>
      <c r="N289" s="141"/>
      <c r="O289" s="164"/>
      <c r="P289" s="164"/>
      <c r="Q289" s="125">
        <f>+Q290</f>
        <v>14000000</v>
      </c>
      <c r="R289" s="34">
        <f>+R290</f>
        <v>14000000</v>
      </c>
      <c r="S289" s="32"/>
      <c r="T289" s="35"/>
      <c r="U289" s="261"/>
      <c r="V289" s="307"/>
      <c r="W289" s="337"/>
      <c r="X289" s="34"/>
      <c r="Y289" s="34"/>
      <c r="Z289" s="365"/>
      <c r="AA289" s="365"/>
      <c r="AB289" s="365"/>
      <c r="AC289" s="365"/>
      <c r="AD289" s="365"/>
      <c r="AG289" s="273"/>
      <c r="AH289" s="273"/>
    </row>
    <row r="290" spans="2:34" ht="15" customHeight="1" x14ac:dyDescent="0.2">
      <c r="B290" s="11" t="s">
        <v>7</v>
      </c>
      <c r="C290" s="4" t="s">
        <v>27</v>
      </c>
      <c r="D290" s="4" t="s">
        <v>8</v>
      </c>
      <c r="E290" s="4" t="s">
        <v>20</v>
      </c>
      <c r="F290" s="4" t="s">
        <v>17</v>
      </c>
      <c r="G290" s="4" t="s">
        <v>10</v>
      </c>
      <c r="H290" s="4" t="s">
        <v>31</v>
      </c>
      <c r="I290" s="4"/>
      <c r="J290" s="197"/>
      <c r="K290" s="11"/>
      <c r="L290" s="6" t="s">
        <v>113</v>
      </c>
      <c r="M290" s="6"/>
      <c r="N290" s="133"/>
      <c r="O290" s="156"/>
      <c r="P290" s="156"/>
      <c r="Q290" s="125">
        <v>14000000</v>
      </c>
      <c r="R290" s="5">
        <f>SUM(R291:R291)</f>
        <v>14000000</v>
      </c>
      <c r="S290" s="181"/>
      <c r="T290" s="9"/>
      <c r="U290" s="245"/>
      <c r="V290" s="301"/>
      <c r="W290" s="331"/>
      <c r="X290" s="5"/>
      <c r="Y290" s="5"/>
      <c r="Z290" s="355"/>
      <c r="AA290" s="355"/>
      <c r="AB290" s="355"/>
      <c r="AC290" s="355"/>
      <c r="AD290" s="355"/>
      <c r="AG290" s="273"/>
      <c r="AH290" s="273"/>
    </row>
    <row r="291" spans="2:34" ht="30" customHeight="1" x14ac:dyDescent="0.2">
      <c r="B291" s="623"/>
      <c r="C291" s="624"/>
      <c r="D291" s="624"/>
      <c r="E291" s="624"/>
      <c r="F291" s="624"/>
      <c r="G291" s="624"/>
      <c r="H291" s="624"/>
      <c r="I291" s="624"/>
      <c r="J291" s="624"/>
      <c r="K291" s="99"/>
      <c r="L291" s="100" t="s">
        <v>211</v>
      </c>
      <c r="M291" s="134">
        <v>44075</v>
      </c>
      <c r="N291" s="134">
        <v>44105</v>
      </c>
      <c r="O291" s="157" t="s">
        <v>332</v>
      </c>
      <c r="P291" s="157" t="s">
        <v>318</v>
      </c>
      <c r="Q291" s="125"/>
      <c r="R291" s="101">
        <v>14000000</v>
      </c>
      <c r="S291" s="182" t="s">
        <v>386</v>
      </c>
      <c r="T291" s="102"/>
      <c r="U291" s="253" t="s">
        <v>194</v>
      </c>
      <c r="V291" s="302"/>
      <c r="W291" s="332"/>
      <c r="X291" s="174"/>
      <c r="Y291" s="174"/>
      <c r="Z291" s="352"/>
      <c r="AA291" s="352"/>
      <c r="AB291" s="352"/>
      <c r="AC291" s="352"/>
      <c r="AD291" s="352"/>
      <c r="AG291" s="273"/>
      <c r="AH291" s="273"/>
    </row>
    <row r="292" spans="2:34" ht="15" customHeight="1" x14ac:dyDescent="0.2">
      <c r="B292" s="31" t="s">
        <v>7</v>
      </c>
      <c r="C292" s="32" t="s">
        <v>27</v>
      </c>
      <c r="D292" s="32" t="s">
        <v>8</v>
      </c>
      <c r="E292" s="32" t="s">
        <v>20</v>
      </c>
      <c r="F292" s="32" t="s">
        <v>17</v>
      </c>
      <c r="G292" s="32" t="s">
        <v>15</v>
      </c>
      <c r="H292" s="32"/>
      <c r="I292" s="32"/>
      <c r="J292" s="202"/>
      <c r="K292" s="31"/>
      <c r="L292" s="33" t="s">
        <v>117</v>
      </c>
      <c r="M292" s="33"/>
      <c r="N292" s="141"/>
      <c r="O292" s="164"/>
      <c r="P292" s="164"/>
      <c r="Q292" s="125">
        <f>+Q293+Q295</f>
        <v>31000000</v>
      </c>
      <c r="R292" s="34">
        <f>+R293+R295</f>
        <v>31000000</v>
      </c>
      <c r="S292" s="32"/>
      <c r="T292" s="35"/>
      <c r="U292" s="261"/>
      <c r="V292" s="307"/>
      <c r="W292" s="337"/>
      <c r="X292" s="34"/>
      <c r="Y292" s="34"/>
      <c r="Z292" s="365"/>
      <c r="AA292" s="365"/>
      <c r="AB292" s="365"/>
      <c r="AC292" s="365"/>
      <c r="AD292" s="365"/>
      <c r="AG292" s="273"/>
      <c r="AH292" s="273"/>
    </row>
    <row r="293" spans="2:34" ht="15" customHeight="1" x14ac:dyDescent="0.2">
      <c r="B293" s="11" t="s">
        <v>7</v>
      </c>
      <c r="C293" s="4" t="s">
        <v>27</v>
      </c>
      <c r="D293" s="4" t="s">
        <v>8</v>
      </c>
      <c r="E293" s="4" t="s">
        <v>20</v>
      </c>
      <c r="F293" s="4" t="s">
        <v>17</v>
      </c>
      <c r="G293" s="4" t="s">
        <v>15</v>
      </c>
      <c r="H293" s="4" t="s">
        <v>8</v>
      </c>
      <c r="I293" s="4"/>
      <c r="J293" s="197"/>
      <c r="K293" s="11"/>
      <c r="L293" s="6" t="s">
        <v>118</v>
      </c>
      <c r="M293" s="6"/>
      <c r="N293" s="133"/>
      <c r="O293" s="156"/>
      <c r="P293" s="156"/>
      <c r="Q293" s="125">
        <v>16000000</v>
      </c>
      <c r="R293" s="5">
        <f>SUM(R294:R294)</f>
        <v>0</v>
      </c>
      <c r="S293" s="181"/>
      <c r="T293" s="9"/>
      <c r="U293" s="245"/>
      <c r="V293" s="301"/>
      <c r="W293" s="331"/>
      <c r="X293" s="5"/>
      <c r="Y293" s="5"/>
      <c r="Z293" s="355"/>
      <c r="AA293" s="355"/>
      <c r="AB293" s="355"/>
      <c r="AC293" s="355"/>
      <c r="AD293" s="355"/>
      <c r="AG293" s="273"/>
      <c r="AH293" s="273"/>
    </row>
    <row r="294" spans="2:34" ht="30" customHeight="1" x14ac:dyDescent="0.2">
      <c r="B294" s="623"/>
      <c r="C294" s="624"/>
      <c r="D294" s="624"/>
      <c r="E294" s="624"/>
      <c r="F294" s="624"/>
      <c r="G294" s="624"/>
      <c r="H294" s="624"/>
      <c r="I294" s="624"/>
      <c r="J294" s="624"/>
      <c r="K294" s="99"/>
      <c r="L294" s="100" t="s">
        <v>212</v>
      </c>
      <c r="M294" s="100"/>
      <c r="N294" s="134"/>
      <c r="O294" s="157"/>
      <c r="P294" s="157"/>
      <c r="Q294" s="125"/>
      <c r="R294" s="101">
        <v>0</v>
      </c>
      <c r="S294" s="182"/>
      <c r="T294" s="102"/>
      <c r="U294" s="253" t="s">
        <v>221</v>
      </c>
      <c r="V294" s="302"/>
      <c r="W294" s="332"/>
      <c r="X294" s="174"/>
      <c r="Y294" s="174"/>
      <c r="Z294" s="352"/>
      <c r="AA294" s="352"/>
      <c r="AB294" s="352"/>
      <c r="AC294" s="352"/>
      <c r="AD294" s="352"/>
      <c r="AG294" s="273"/>
      <c r="AH294" s="273"/>
    </row>
    <row r="295" spans="2:34" ht="15" customHeight="1" x14ac:dyDescent="0.2">
      <c r="B295" s="11" t="s">
        <v>7</v>
      </c>
      <c r="C295" s="4" t="s">
        <v>27</v>
      </c>
      <c r="D295" s="4" t="s">
        <v>8</v>
      </c>
      <c r="E295" s="4" t="s">
        <v>20</v>
      </c>
      <c r="F295" s="4" t="s">
        <v>17</v>
      </c>
      <c r="G295" s="4" t="s">
        <v>15</v>
      </c>
      <c r="H295" s="4" t="s">
        <v>31</v>
      </c>
      <c r="I295" s="4"/>
      <c r="J295" s="197"/>
      <c r="K295" s="11"/>
      <c r="L295" s="6" t="s">
        <v>119</v>
      </c>
      <c r="M295" s="6"/>
      <c r="N295" s="133"/>
      <c r="O295" s="156"/>
      <c r="P295" s="156"/>
      <c r="Q295" s="125">
        <v>15000000</v>
      </c>
      <c r="R295" s="5">
        <f>SUM(R296:R296)</f>
        <v>31000000</v>
      </c>
      <c r="S295" s="181"/>
      <c r="T295" s="9"/>
      <c r="U295" s="245"/>
      <c r="V295" s="301"/>
      <c r="W295" s="331"/>
      <c r="X295" s="5"/>
      <c r="Y295" s="5"/>
      <c r="Z295" s="355"/>
      <c r="AA295" s="355"/>
      <c r="AB295" s="355"/>
      <c r="AC295" s="355"/>
      <c r="AD295" s="355"/>
      <c r="AG295" s="273"/>
      <c r="AH295" s="273"/>
    </row>
    <row r="296" spans="2:34" ht="30" customHeight="1" x14ac:dyDescent="0.2">
      <c r="B296" s="623"/>
      <c r="C296" s="624"/>
      <c r="D296" s="624"/>
      <c r="E296" s="624"/>
      <c r="F296" s="624"/>
      <c r="G296" s="624"/>
      <c r="H296" s="624"/>
      <c r="I296" s="624"/>
      <c r="J296" s="624"/>
      <c r="K296" s="99">
        <v>72102100</v>
      </c>
      <c r="L296" s="100" t="s">
        <v>208</v>
      </c>
      <c r="M296" s="134">
        <v>43525</v>
      </c>
      <c r="N296" s="134">
        <v>43922</v>
      </c>
      <c r="O296" s="157" t="s">
        <v>403</v>
      </c>
      <c r="P296" s="157" t="s">
        <v>319</v>
      </c>
      <c r="Q296" s="125"/>
      <c r="R296" s="101">
        <v>31000000</v>
      </c>
      <c r="S296" s="182" t="s">
        <v>386</v>
      </c>
      <c r="T296" s="102"/>
      <c r="U296" s="253" t="s">
        <v>221</v>
      </c>
      <c r="V296" s="302">
        <v>25220</v>
      </c>
      <c r="W296" s="332">
        <v>43943</v>
      </c>
      <c r="X296" s="174">
        <v>31000000</v>
      </c>
      <c r="Y296" s="174">
        <v>31000000</v>
      </c>
      <c r="Z296" s="352"/>
      <c r="AA296" s="352">
        <f>+R296-Y296</f>
        <v>0</v>
      </c>
      <c r="AB296" s="352">
        <f>+Z296-AA296</f>
        <v>0</v>
      </c>
      <c r="AC296" s="352" t="str">
        <f>IF(Z296=0,"0",IF(Z296&gt;0,Y296-Z296,))</f>
        <v>0</v>
      </c>
      <c r="AD296" s="352">
        <f>+R296-Y296+AB296</f>
        <v>0</v>
      </c>
      <c r="AG296" s="273"/>
      <c r="AH296" s="273"/>
    </row>
    <row r="297" spans="2:34" ht="15.75" customHeight="1" x14ac:dyDescent="0.25">
      <c r="B297" s="63" t="s">
        <v>7</v>
      </c>
      <c r="C297" s="64" t="s">
        <v>29</v>
      </c>
      <c r="D297" s="64"/>
      <c r="E297" s="64"/>
      <c r="F297" s="64"/>
      <c r="G297" s="64"/>
      <c r="H297" s="64"/>
      <c r="I297" s="64"/>
      <c r="J297" s="203"/>
      <c r="K297" s="63"/>
      <c r="L297" s="61" t="s">
        <v>123</v>
      </c>
      <c r="M297" s="61"/>
      <c r="N297" s="142"/>
      <c r="O297" s="165"/>
      <c r="P297" s="165"/>
      <c r="Q297" s="127">
        <f>+Q298+Q300</f>
        <v>1992000000</v>
      </c>
      <c r="R297" s="62">
        <f>+R298+R300</f>
        <v>1992000000</v>
      </c>
      <c r="S297" s="226"/>
      <c r="T297" s="65"/>
      <c r="U297" s="262"/>
      <c r="V297" s="309"/>
      <c r="W297" s="339"/>
      <c r="X297" s="62"/>
      <c r="Y297" s="62"/>
      <c r="Z297" s="367"/>
      <c r="AA297" s="367"/>
      <c r="AB297" s="367"/>
      <c r="AC297" s="367"/>
      <c r="AD297" s="367"/>
      <c r="AG297" s="273"/>
      <c r="AH297" s="273"/>
    </row>
    <row r="298" spans="2:34" ht="15.75" customHeight="1" x14ac:dyDescent="0.25">
      <c r="B298" s="71" t="s">
        <v>7</v>
      </c>
      <c r="C298" s="72" t="s">
        <v>29</v>
      </c>
      <c r="D298" s="72" t="s">
        <v>8</v>
      </c>
      <c r="E298" s="72"/>
      <c r="F298" s="72"/>
      <c r="G298" s="72"/>
      <c r="H298" s="72"/>
      <c r="I298" s="72"/>
      <c r="J298" s="204"/>
      <c r="K298" s="71"/>
      <c r="L298" s="73" t="s">
        <v>124</v>
      </c>
      <c r="M298" s="73"/>
      <c r="N298" s="143"/>
      <c r="O298" s="166"/>
      <c r="P298" s="166"/>
      <c r="Q298" s="127">
        <v>92000000</v>
      </c>
      <c r="R298" s="74">
        <f>SUM(R299:R299)</f>
        <v>92000000</v>
      </c>
      <c r="S298" s="72"/>
      <c r="T298" s="75"/>
      <c r="U298" s="263"/>
      <c r="V298" s="310"/>
      <c r="W298" s="340"/>
      <c r="X298" s="74"/>
      <c r="Y298" s="74"/>
      <c r="Z298" s="368"/>
      <c r="AA298" s="368"/>
      <c r="AB298" s="368"/>
      <c r="AC298" s="368"/>
      <c r="AD298" s="368"/>
      <c r="AG298" s="273"/>
      <c r="AH298" s="273"/>
    </row>
    <row r="299" spans="2:34" ht="45" customHeight="1" x14ac:dyDescent="0.2">
      <c r="B299" s="630"/>
      <c r="C299" s="631"/>
      <c r="D299" s="631"/>
      <c r="E299" s="631"/>
      <c r="F299" s="631"/>
      <c r="G299" s="631"/>
      <c r="H299" s="631"/>
      <c r="I299" s="631"/>
      <c r="J299" s="631"/>
      <c r="K299" s="122"/>
      <c r="L299" s="384" t="s">
        <v>124</v>
      </c>
      <c r="M299" s="121"/>
      <c r="N299" s="134"/>
      <c r="O299" s="157"/>
      <c r="P299" s="157"/>
      <c r="Q299" s="125"/>
      <c r="R299" s="101">
        <v>92000000</v>
      </c>
      <c r="S299" s="182" t="s">
        <v>386</v>
      </c>
      <c r="T299" s="123"/>
      <c r="U299" s="264" t="s">
        <v>194</v>
      </c>
      <c r="V299" s="302" t="s">
        <v>450</v>
      </c>
      <c r="W299" s="332" t="s">
        <v>451</v>
      </c>
      <c r="X299" s="174">
        <f>26000000+5000000+259725</f>
        <v>31259725</v>
      </c>
      <c r="Y299" s="174">
        <f>26000000+5000000+259725</f>
        <v>31259725</v>
      </c>
      <c r="Z299" s="174">
        <f>26000000+5000000+259725</f>
        <v>31259725</v>
      </c>
      <c r="AA299" s="352">
        <f>+R299-Y299</f>
        <v>60740275</v>
      </c>
      <c r="AB299" s="352">
        <f>+Z299-AA299</f>
        <v>-29480550</v>
      </c>
      <c r="AC299" s="352">
        <f>IF(Z299=0,"0",IF(Z299&gt;0,Y299-Z299,))</f>
        <v>0</v>
      </c>
      <c r="AD299" s="352">
        <f>+R299-Y299+AB299</f>
        <v>31259725</v>
      </c>
      <c r="AG299" s="273"/>
      <c r="AH299" s="273"/>
    </row>
    <row r="300" spans="2:34" ht="15.75" customHeight="1" x14ac:dyDescent="0.25">
      <c r="B300" s="71" t="s">
        <v>7</v>
      </c>
      <c r="C300" s="72" t="s">
        <v>29</v>
      </c>
      <c r="D300" s="72" t="s">
        <v>23</v>
      </c>
      <c r="E300" s="72"/>
      <c r="F300" s="72"/>
      <c r="G300" s="72"/>
      <c r="H300" s="72"/>
      <c r="I300" s="72"/>
      <c r="J300" s="204"/>
      <c r="K300" s="71"/>
      <c r="L300" s="73" t="s">
        <v>125</v>
      </c>
      <c r="M300" s="73"/>
      <c r="N300" s="143"/>
      <c r="O300" s="166"/>
      <c r="P300" s="166"/>
      <c r="Q300" s="127">
        <v>1900000000</v>
      </c>
      <c r="R300" s="74">
        <f>SUM(R301:R301)</f>
        <v>1900000000</v>
      </c>
      <c r="S300" s="72"/>
      <c r="T300" s="75"/>
      <c r="U300" s="263"/>
      <c r="V300" s="310"/>
      <c r="W300" s="340"/>
      <c r="X300" s="74"/>
      <c r="Y300" s="74"/>
      <c r="Z300" s="368"/>
      <c r="AA300" s="368"/>
      <c r="AB300" s="368"/>
      <c r="AC300" s="368"/>
      <c r="AD300" s="368"/>
      <c r="AG300" s="273"/>
      <c r="AH300" s="273"/>
    </row>
    <row r="301" spans="2:34" ht="48.75" customHeight="1" x14ac:dyDescent="0.2">
      <c r="B301" s="630"/>
      <c r="C301" s="631"/>
      <c r="D301" s="631"/>
      <c r="E301" s="631"/>
      <c r="F301" s="631"/>
      <c r="G301" s="631"/>
      <c r="H301" s="631"/>
      <c r="I301" s="631"/>
      <c r="J301" s="631"/>
      <c r="K301" s="122"/>
      <c r="L301" s="384" t="s">
        <v>261</v>
      </c>
      <c r="M301" s="121"/>
      <c r="N301" s="134"/>
      <c r="O301" s="157"/>
      <c r="P301" s="157"/>
      <c r="Q301" s="125"/>
      <c r="R301" s="101">
        <f>1900000000</f>
        <v>1900000000</v>
      </c>
      <c r="S301" s="182" t="s">
        <v>386</v>
      </c>
      <c r="T301" s="123"/>
      <c r="U301" s="264" t="s">
        <v>271</v>
      </c>
      <c r="V301" s="302" t="s">
        <v>452</v>
      </c>
      <c r="W301" s="332"/>
      <c r="X301" s="174">
        <v>706406475</v>
      </c>
      <c r="Y301" s="174">
        <v>706406475</v>
      </c>
      <c r="Z301" s="352">
        <v>706406475</v>
      </c>
      <c r="AA301" s="352">
        <f>+R301-Y301</f>
        <v>1193593525</v>
      </c>
      <c r="AB301" s="352">
        <f>+Z301-AA301</f>
        <v>-487187050</v>
      </c>
      <c r="AC301" s="352">
        <f>IF(Z301=0,"0",IF(Z301&gt;0,Y301-Z301,))</f>
        <v>0</v>
      </c>
      <c r="AD301" s="352">
        <f>+R301-Y301+AB301</f>
        <v>706406475</v>
      </c>
      <c r="AG301" s="273"/>
      <c r="AH301" s="273"/>
    </row>
    <row r="302" spans="2:34" ht="15.6" customHeight="1" x14ac:dyDescent="0.25">
      <c r="B302" s="78" t="s">
        <v>7</v>
      </c>
      <c r="C302" s="79" t="s">
        <v>30</v>
      </c>
      <c r="D302" s="79"/>
      <c r="E302" s="79"/>
      <c r="F302" s="79"/>
      <c r="G302" s="79"/>
      <c r="H302" s="79"/>
      <c r="I302" s="79"/>
      <c r="J302" s="205"/>
      <c r="K302" s="78"/>
      <c r="L302" s="76" t="s">
        <v>126</v>
      </c>
      <c r="M302" s="76"/>
      <c r="N302" s="144"/>
      <c r="O302" s="167"/>
      <c r="P302" s="167"/>
      <c r="Q302" s="127">
        <f>+Q303+Q311</f>
        <v>4187000000</v>
      </c>
      <c r="R302" s="77">
        <f>+R303+R311</f>
        <v>4187000000</v>
      </c>
      <c r="S302" s="79"/>
      <c r="T302" s="80"/>
      <c r="U302" s="265"/>
      <c r="V302" s="311"/>
      <c r="W302" s="341"/>
      <c r="X302" s="77"/>
      <c r="Y302" s="77"/>
      <c r="Z302" s="369"/>
      <c r="AA302" s="369"/>
      <c r="AB302" s="369"/>
      <c r="AC302" s="369"/>
      <c r="AD302" s="369"/>
      <c r="AG302" s="273"/>
      <c r="AH302" s="273"/>
    </row>
    <row r="303" spans="2:34" ht="15.75" customHeight="1" x14ac:dyDescent="0.25">
      <c r="B303" s="81" t="s">
        <v>7</v>
      </c>
      <c r="C303" s="82" t="s">
        <v>30</v>
      </c>
      <c r="D303" s="82" t="s">
        <v>8</v>
      </c>
      <c r="E303" s="82"/>
      <c r="F303" s="82"/>
      <c r="G303" s="82"/>
      <c r="H303" s="82"/>
      <c r="I303" s="82"/>
      <c r="J303" s="206"/>
      <c r="K303" s="81"/>
      <c r="L303" s="83" t="s">
        <v>127</v>
      </c>
      <c r="M303" s="83"/>
      <c r="N303" s="145"/>
      <c r="O303" s="168"/>
      <c r="P303" s="168"/>
      <c r="Q303" s="127">
        <f>+Q304</f>
        <v>3869000000</v>
      </c>
      <c r="R303" s="84">
        <f>+R304</f>
        <v>3869000000</v>
      </c>
      <c r="S303" s="82"/>
      <c r="T303" s="85"/>
      <c r="U303" s="266"/>
      <c r="V303" s="312"/>
      <c r="W303" s="342"/>
      <c r="X303" s="84"/>
      <c r="Y303" s="84"/>
      <c r="Z303" s="370"/>
      <c r="AA303" s="370"/>
      <c r="AB303" s="370"/>
      <c r="AC303" s="370"/>
      <c r="AD303" s="370"/>
      <c r="AG303" s="273"/>
      <c r="AH303" s="273"/>
    </row>
    <row r="304" spans="2:34" ht="15" customHeight="1" x14ac:dyDescent="0.2">
      <c r="B304" s="66" t="s">
        <v>7</v>
      </c>
      <c r="C304" s="67" t="s">
        <v>30</v>
      </c>
      <c r="D304" s="67" t="s">
        <v>8</v>
      </c>
      <c r="E304" s="67" t="s">
        <v>20</v>
      </c>
      <c r="F304" s="67"/>
      <c r="G304" s="67"/>
      <c r="H304" s="67"/>
      <c r="I304" s="67"/>
      <c r="J304" s="207"/>
      <c r="K304" s="66"/>
      <c r="L304" s="68" t="s">
        <v>128</v>
      </c>
      <c r="M304" s="68"/>
      <c r="N304" s="146"/>
      <c r="O304" s="169"/>
      <c r="P304" s="169"/>
      <c r="Q304" s="125">
        <f>+Q305+Q307+Q309</f>
        <v>3869000000</v>
      </c>
      <c r="R304" s="69">
        <f>+R305+R307+R309</f>
        <v>3869000000</v>
      </c>
      <c r="S304" s="67"/>
      <c r="T304" s="70"/>
      <c r="U304" s="267"/>
      <c r="V304" s="313"/>
      <c r="W304" s="343"/>
      <c r="X304" s="69"/>
      <c r="Y304" s="69"/>
      <c r="Z304" s="371"/>
      <c r="AA304" s="371"/>
      <c r="AB304" s="371"/>
      <c r="AC304" s="371"/>
      <c r="AD304" s="371"/>
      <c r="AG304" s="273"/>
      <c r="AH304" s="273"/>
    </row>
    <row r="305" spans="2:34" ht="15" customHeight="1" x14ac:dyDescent="0.2">
      <c r="B305" s="13" t="s">
        <v>7</v>
      </c>
      <c r="C305" s="14" t="s">
        <v>30</v>
      </c>
      <c r="D305" s="14" t="s">
        <v>8</v>
      </c>
      <c r="E305" s="14" t="s">
        <v>20</v>
      </c>
      <c r="F305" s="14" t="s">
        <v>9</v>
      </c>
      <c r="G305" s="14"/>
      <c r="H305" s="14"/>
      <c r="I305" s="14"/>
      <c r="J305" s="195"/>
      <c r="K305" s="13"/>
      <c r="L305" s="15" t="s">
        <v>129</v>
      </c>
      <c r="M305" s="15"/>
      <c r="N305" s="131"/>
      <c r="O305" s="154"/>
      <c r="P305" s="154"/>
      <c r="Q305" s="125">
        <v>3800000000</v>
      </c>
      <c r="R305" s="16">
        <f>SUM(R306:R306)</f>
        <v>3800000000</v>
      </c>
      <c r="S305" s="14"/>
      <c r="T305" s="17"/>
      <c r="U305" s="252"/>
      <c r="V305" s="299"/>
      <c r="W305" s="329"/>
      <c r="X305" s="16"/>
      <c r="Y305" s="16"/>
      <c r="Z305" s="353"/>
      <c r="AA305" s="353"/>
      <c r="AB305" s="353"/>
      <c r="AC305" s="353"/>
      <c r="AD305" s="353"/>
      <c r="AG305" s="273"/>
      <c r="AH305" s="273"/>
    </row>
    <row r="306" spans="2:34" ht="30.75" customHeight="1" x14ac:dyDescent="0.2">
      <c r="B306" s="623"/>
      <c r="C306" s="624"/>
      <c r="D306" s="624"/>
      <c r="E306" s="624"/>
      <c r="F306" s="624"/>
      <c r="G306" s="624"/>
      <c r="H306" s="624"/>
      <c r="I306" s="624"/>
      <c r="J306" s="624"/>
      <c r="K306" s="122"/>
      <c r="L306" s="121" t="s">
        <v>129</v>
      </c>
      <c r="M306" s="121"/>
      <c r="N306" s="134"/>
      <c r="O306" s="157"/>
      <c r="P306" s="157"/>
      <c r="Q306" s="125"/>
      <c r="R306" s="101">
        <v>3800000000</v>
      </c>
      <c r="S306" s="182" t="s">
        <v>386</v>
      </c>
      <c r="T306" s="123"/>
      <c r="U306" s="264" t="s">
        <v>268</v>
      </c>
      <c r="V306" s="302" t="s">
        <v>453</v>
      </c>
      <c r="W306" s="332" t="s">
        <v>454</v>
      </c>
      <c r="X306" s="174">
        <v>2874161499</v>
      </c>
      <c r="Y306" s="174">
        <v>2874161499</v>
      </c>
      <c r="Z306" s="352">
        <v>2874161499</v>
      </c>
      <c r="AA306" s="352">
        <f>+R306-Y306</f>
        <v>925838501</v>
      </c>
      <c r="AB306" s="352">
        <f>+Z306-AA306</f>
        <v>1948322998</v>
      </c>
      <c r="AC306" s="352">
        <f>IF(Z306=0,"0",IF(Z306&gt;0,Y306-Z306,))</f>
        <v>0</v>
      </c>
      <c r="AD306" s="352">
        <f>+R306-Y306+AB306</f>
        <v>2874161499</v>
      </c>
      <c r="AG306" s="273"/>
      <c r="AH306" s="273"/>
    </row>
    <row r="307" spans="2:34" ht="15" customHeight="1" x14ac:dyDescent="0.2">
      <c r="B307" s="13" t="s">
        <v>7</v>
      </c>
      <c r="C307" s="14" t="s">
        <v>30</v>
      </c>
      <c r="D307" s="14" t="s">
        <v>8</v>
      </c>
      <c r="E307" s="14" t="s">
        <v>20</v>
      </c>
      <c r="F307" s="14" t="s">
        <v>11</v>
      </c>
      <c r="G307" s="14"/>
      <c r="H307" s="14"/>
      <c r="I307" s="14"/>
      <c r="J307" s="195"/>
      <c r="K307" s="13"/>
      <c r="L307" s="15" t="s">
        <v>130</v>
      </c>
      <c r="M307" s="15"/>
      <c r="N307" s="131"/>
      <c r="O307" s="154"/>
      <c r="P307" s="154"/>
      <c r="Q307" s="125">
        <v>67000000</v>
      </c>
      <c r="R307" s="16">
        <f>SUM(R308:R308)</f>
        <v>67000000</v>
      </c>
      <c r="S307" s="14"/>
      <c r="T307" s="17"/>
      <c r="U307" s="252"/>
      <c r="V307" s="299"/>
      <c r="W307" s="329"/>
      <c r="X307" s="16"/>
      <c r="Y307" s="16"/>
      <c r="Z307" s="353"/>
      <c r="AA307" s="353"/>
      <c r="AB307" s="353"/>
      <c r="AC307" s="353"/>
      <c r="AD307" s="353"/>
      <c r="AG307" s="273"/>
      <c r="AH307" s="273"/>
    </row>
    <row r="308" spans="2:34" ht="45" x14ac:dyDescent="0.2">
      <c r="B308" s="623"/>
      <c r="C308" s="624"/>
      <c r="D308" s="624"/>
      <c r="E308" s="624"/>
      <c r="F308" s="624"/>
      <c r="G308" s="624"/>
      <c r="H308" s="624"/>
      <c r="I308" s="624"/>
      <c r="J308" s="624"/>
      <c r="K308" s="99"/>
      <c r="L308" s="100" t="s">
        <v>130</v>
      </c>
      <c r="M308" s="100"/>
      <c r="N308" s="134"/>
      <c r="O308" s="157"/>
      <c r="P308" s="157"/>
      <c r="Q308" s="125"/>
      <c r="R308" s="101">
        <v>67000000</v>
      </c>
      <c r="S308" s="182" t="s">
        <v>386</v>
      </c>
      <c r="T308" s="102"/>
      <c r="U308" s="253" t="s">
        <v>276</v>
      </c>
      <c r="V308" s="302" t="s">
        <v>455</v>
      </c>
      <c r="W308" s="332" t="s">
        <v>456</v>
      </c>
      <c r="X308" s="174">
        <v>33565544</v>
      </c>
      <c r="Y308" s="174">
        <v>33565544</v>
      </c>
      <c r="Z308" s="174">
        <v>33565544</v>
      </c>
      <c r="AA308" s="352">
        <f>+R308-Y308</f>
        <v>33434456</v>
      </c>
      <c r="AB308" s="352">
        <f>+Z308-AA308</f>
        <v>131088</v>
      </c>
      <c r="AC308" s="352">
        <f>IF(Z308=0,"0",IF(Z308&gt;0,Y308-Z308,))</f>
        <v>0</v>
      </c>
      <c r="AD308" s="352">
        <f>+R308-Y308+AB308</f>
        <v>33565544</v>
      </c>
      <c r="AG308" s="273"/>
      <c r="AH308" s="273"/>
    </row>
    <row r="309" spans="2:34" ht="15" customHeight="1" x14ac:dyDescent="0.2">
      <c r="B309" s="13" t="s">
        <v>7</v>
      </c>
      <c r="C309" s="14" t="s">
        <v>30</v>
      </c>
      <c r="D309" s="14" t="s">
        <v>8</v>
      </c>
      <c r="E309" s="14" t="s">
        <v>20</v>
      </c>
      <c r="F309" s="14" t="s">
        <v>14</v>
      </c>
      <c r="G309" s="14"/>
      <c r="H309" s="14"/>
      <c r="I309" s="14"/>
      <c r="J309" s="195"/>
      <c r="K309" s="13"/>
      <c r="L309" s="15" t="s">
        <v>131</v>
      </c>
      <c r="M309" s="15"/>
      <c r="N309" s="131"/>
      <c r="O309" s="154"/>
      <c r="P309" s="154"/>
      <c r="Q309" s="125">
        <v>2000000</v>
      </c>
      <c r="R309" s="16">
        <f>SUM(R310:R310)</f>
        <v>2000000</v>
      </c>
      <c r="S309" s="14"/>
      <c r="T309" s="17"/>
      <c r="U309" s="252"/>
      <c r="V309" s="299"/>
      <c r="W309" s="329"/>
      <c r="X309" s="16"/>
      <c r="Y309" s="16"/>
      <c r="Z309" s="353"/>
      <c r="AA309" s="353"/>
      <c r="AB309" s="353"/>
      <c r="AC309" s="353"/>
      <c r="AD309" s="353"/>
      <c r="AG309" s="273"/>
      <c r="AH309" s="273"/>
    </row>
    <row r="310" spans="2:34" ht="15" customHeight="1" x14ac:dyDescent="0.2">
      <c r="B310" s="623"/>
      <c r="C310" s="624"/>
      <c r="D310" s="624"/>
      <c r="E310" s="624"/>
      <c r="F310" s="624"/>
      <c r="G310" s="624"/>
      <c r="H310" s="624"/>
      <c r="I310" s="624"/>
      <c r="J310" s="624"/>
      <c r="K310" s="99"/>
      <c r="L310" s="100" t="s">
        <v>131</v>
      </c>
      <c r="M310" s="100"/>
      <c r="N310" s="134"/>
      <c r="O310" s="157"/>
      <c r="P310" s="157"/>
      <c r="Q310" s="125"/>
      <c r="R310" s="101">
        <v>2000000</v>
      </c>
      <c r="S310" s="182" t="s">
        <v>386</v>
      </c>
      <c r="T310" s="102"/>
      <c r="U310" s="257" t="s">
        <v>270</v>
      </c>
      <c r="V310" s="302"/>
      <c r="W310" s="332"/>
      <c r="X310" s="174"/>
      <c r="Y310" s="174"/>
      <c r="Z310" s="352"/>
      <c r="AA310" s="352"/>
      <c r="AB310" s="352"/>
      <c r="AC310" s="352"/>
      <c r="AD310" s="352"/>
      <c r="AG310" s="273"/>
      <c r="AH310" s="273"/>
    </row>
    <row r="311" spans="2:34" ht="15.75" customHeight="1" x14ac:dyDescent="0.25">
      <c r="B311" s="81" t="s">
        <v>7</v>
      </c>
      <c r="C311" s="82" t="s">
        <v>30</v>
      </c>
      <c r="D311" s="82" t="s">
        <v>24</v>
      </c>
      <c r="E311" s="82"/>
      <c r="F311" s="82"/>
      <c r="G311" s="82"/>
      <c r="H311" s="82"/>
      <c r="I311" s="82"/>
      <c r="J311" s="206"/>
      <c r="K311" s="81"/>
      <c r="L311" s="83" t="s">
        <v>132</v>
      </c>
      <c r="M311" s="83"/>
      <c r="N311" s="145"/>
      <c r="O311" s="168"/>
      <c r="P311" s="168"/>
      <c r="Q311" s="127">
        <f>+Q312+Q314</f>
        <v>318000000</v>
      </c>
      <c r="R311" s="84">
        <f>+R312+R314</f>
        <v>318000000</v>
      </c>
      <c r="S311" s="82"/>
      <c r="T311" s="85"/>
      <c r="U311" s="266"/>
      <c r="V311" s="312"/>
      <c r="W311" s="342"/>
      <c r="X311" s="84"/>
      <c r="Y311" s="84"/>
      <c r="Z311" s="370"/>
      <c r="AA311" s="370"/>
      <c r="AB311" s="370"/>
      <c r="AC311" s="370"/>
      <c r="AD311" s="370"/>
      <c r="AG311" s="273"/>
      <c r="AH311" s="273"/>
    </row>
    <row r="312" spans="2:34" ht="15" customHeight="1" x14ac:dyDescent="0.2">
      <c r="B312" s="66" t="s">
        <v>7</v>
      </c>
      <c r="C312" s="67" t="s">
        <v>30</v>
      </c>
      <c r="D312" s="67" t="s">
        <v>24</v>
      </c>
      <c r="E312" s="67" t="s">
        <v>8</v>
      </c>
      <c r="F312" s="67"/>
      <c r="G312" s="67"/>
      <c r="H312" s="67"/>
      <c r="I312" s="67"/>
      <c r="J312" s="207"/>
      <c r="K312" s="66"/>
      <c r="L312" s="68" t="s">
        <v>133</v>
      </c>
      <c r="M312" s="68"/>
      <c r="N312" s="146"/>
      <c r="O312" s="169"/>
      <c r="P312" s="169"/>
      <c r="Q312" s="125">
        <v>112000000</v>
      </c>
      <c r="R312" s="69">
        <f>SUM(R313)</f>
        <v>112000000</v>
      </c>
      <c r="S312" s="67"/>
      <c r="T312" s="70"/>
      <c r="U312" s="267"/>
      <c r="V312" s="313"/>
      <c r="W312" s="344"/>
      <c r="X312" s="212"/>
      <c r="Y312" s="212"/>
      <c r="Z312" s="372"/>
      <c r="AA312" s="372"/>
      <c r="AB312" s="372"/>
      <c r="AC312" s="372"/>
      <c r="AD312" s="372"/>
      <c r="AG312" s="273"/>
      <c r="AH312" s="273"/>
    </row>
    <row r="313" spans="2:34" ht="15" customHeight="1" x14ac:dyDescent="0.2">
      <c r="B313" s="623"/>
      <c r="C313" s="624"/>
      <c r="D313" s="624"/>
      <c r="E313" s="624"/>
      <c r="F313" s="624"/>
      <c r="G313" s="624"/>
      <c r="H313" s="624"/>
      <c r="I313" s="624"/>
      <c r="J313" s="624"/>
      <c r="K313" s="99"/>
      <c r="L313" s="100" t="s">
        <v>133</v>
      </c>
      <c r="M313" s="100"/>
      <c r="N313" s="134"/>
      <c r="O313" s="157"/>
      <c r="P313" s="157"/>
      <c r="Q313" s="125"/>
      <c r="R313" s="101">
        <v>112000000</v>
      </c>
      <c r="S313" s="182" t="s">
        <v>386</v>
      </c>
      <c r="T313" s="102"/>
      <c r="U313" s="253" t="s">
        <v>276</v>
      </c>
      <c r="V313" s="302"/>
      <c r="W313" s="332"/>
      <c r="X313" s="174"/>
      <c r="Y313" s="174"/>
      <c r="Z313" s="352"/>
      <c r="AA313" s="352"/>
      <c r="AB313" s="352"/>
      <c r="AC313" s="352"/>
      <c r="AD313" s="352"/>
      <c r="AG313" s="273"/>
      <c r="AH313" s="273"/>
    </row>
    <row r="314" spans="2:34" ht="15" customHeight="1" x14ac:dyDescent="0.2">
      <c r="B314" s="66" t="s">
        <v>7</v>
      </c>
      <c r="C314" s="67" t="s">
        <v>30</v>
      </c>
      <c r="D314" s="67" t="s">
        <v>24</v>
      </c>
      <c r="E314" s="67" t="s">
        <v>24</v>
      </c>
      <c r="F314" s="67"/>
      <c r="G314" s="67"/>
      <c r="H314" s="67"/>
      <c r="I314" s="67"/>
      <c r="J314" s="207"/>
      <c r="K314" s="66"/>
      <c r="L314" s="68" t="s">
        <v>393</v>
      </c>
      <c r="M314" s="68"/>
      <c r="N314" s="146"/>
      <c r="O314" s="169"/>
      <c r="P314" s="169"/>
      <c r="Q314" s="125">
        <v>206000000</v>
      </c>
      <c r="R314" s="69">
        <f>+R315</f>
        <v>206000000</v>
      </c>
      <c r="S314" s="67"/>
      <c r="T314" s="70"/>
      <c r="U314" s="267"/>
      <c r="V314" s="313"/>
      <c r="W314" s="343"/>
      <c r="X314" s="69"/>
      <c r="Y314" s="69"/>
      <c r="Z314" s="371"/>
      <c r="AA314" s="371"/>
      <c r="AB314" s="371"/>
      <c r="AC314" s="371"/>
      <c r="AD314" s="371"/>
      <c r="AG314" s="273"/>
      <c r="AH314" s="273"/>
    </row>
    <row r="315" spans="2:34" ht="15" customHeight="1" x14ac:dyDescent="0.2">
      <c r="B315" s="623"/>
      <c r="C315" s="624"/>
      <c r="D315" s="624"/>
      <c r="E315" s="624"/>
      <c r="F315" s="624"/>
      <c r="G315" s="624"/>
      <c r="H315" s="624"/>
      <c r="I315" s="624"/>
      <c r="J315" s="624"/>
      <c r="K315" s="99"/>
      <c r="L315" s="100" t="s">
        <v>394</v>
      </c>
      <c r="M315" s="100"/>
      <c r="N315" s="134"/>
      <c r="O315" s="157"/>
      <c r="P315" s="157"/>
      <c r="Q315" s="125"/>
      <c r="R315" s="101">
        <v>206000000</v>
      </c>
      <c r="S315" s="182" t="s">
        <v>386</v>
      </c>
      <c r="T315" s="102"/>
      <c r="U315" s="253"/>
      <c r="V315" s="302"/>
      <c r="W315" s="332"/>
      <c r="X315" s="174"/>
      <c r="Y315" s="174"/>
      <c r="Z315" s="352"/>
      <c r="AA315" s="352"/>
      <c r="AB315" s="352"/>
      <c r="AC315" s="352"/>
      <c r="AD315" s="352"/>
      <c r="AG315" s="273"/>
      <c r="AH315" s="273"/>
    </row>
    <row r="316" spans="2:34" ht="15.75" customHeight="1" x14ac:dyDescent="0.25">
      <c r="B316" s="86" t="s">
        <v>149</v>
      </c>
      <c r="C316" s="87"/>
      <c r="D316" s="87"/>
      <c r="E316" s="87"/>
      <c r="F316" s="87"/>
      <c r="G316" s="87"/>
      <c r="H316" s="87"/>
      <c r="I316" s="87"/>
      <c r="J316" s="208"/>
      <c r="K316" s="86"/>
      <c r="L316" s="88" t="s">
        <v>152</v>
      </c>
      <c r="M316" s="88"/>
      <c r="N316" s="147"/>
      <c r="O316" s="170"/>
      <c r="P316" s="170"/>
      <c r="Q316" s="127">
        <f>+Q317</f>
        <v>13016000000</v>
      </c>
      <c r="R316" s="89">
        <f>+R317</f>
        <v>13016000000</v>
      </c>
      <c r="S316" s="87"/>
      <c r="T316" s="90"/>
      <c r="U316" s="268"/>
      <c r="V316" s="314"/>
      <c r="W316" s="345"/>
      <c r="X316" s="89"/>
      <c r="Y316" s="89"/>
      <c r="Z316" s="373"/>
      <c r="AA316" s="373"/>
      <c r="AB316" s="373"/>
      <c r="AC316" s="373"/>
      <c r="AD316" s="373"/>
      <c r="AG316" s="273"/>
      <c r="AH316" s="273"/>
    </row>
    <row r="317" spans="2:34" ht="15" customHeight="1" x14ac:dyDescent="0.2">
      <c r="B317" s="56" t="s">
        <v>149</v>
      </c>
      <c r="C317" s="57"/>
      <c r="D317" s="57" t="s">
        <v>150</v>
      </c>
      <c r="E317" s="57"/>
      <c r="F317" s="57"/>
      <c r="G317" s="57"/>
      <c r="H317" s="57"/>
      <c r="I317" s="57"/>
      <c r="J317" s="209"/>
      <c r="K317" s="56"/>
      <c r="L317" s="58" t="s">
        <v>153</v>
      </c>
      <c r="M317" s="58"/>
      <c r="N317" s="148"/>
      <c r="O317" s="171"/>
      <c r="P317" s="171"/>
      <c r="Q317" s="125">
        <f>+Q318</f>
        <v>13016000000</v>
      </c>
      <c r="R317" s="59">
        <f>+R318</f>
        <v>13016000000</v>
      </c>
      <c r="S317" s="57"/>
      <c r="T317" s="60"/>
      <c r="U317" s="269"/>
      <c r="V317" s="315"/>
      <c r="W317" s="346"/>
      <c r="X317" s="59"/>
      <c r="Y317" s="59"/>
      <c r="Z317" s="374"/>
      <c r="AA317" s="374"/>
      <c r="AB317" s="374"/>
      <c r="AC317" s="374"/>
      <c r="AD317" s="374"/>
      <c r="AG317" s="273"/>
      <c r="AH317" s="273"/>
    </row>
    <row r="318" spans="2:34" ht="15" customHeight="1" x14ac:dyDescent="0.2">
      <c r="B318" s="36" t="s">
        <v>149</v>
      </c>
      <c r="C318" s="37"/>
      <c r="D318" s="37" t="s">
        <v>150</v>
      </c>
      <c r="E318" s="37"/>
      <c r="F318" s="37" t="s">
        <v>151</v>
      </c>
      <c r="G318" s="37"/>
      <c r="H318" s="37"/>
      <c r="I318" s="37"/>
      <c r="J318" s="210"/>
      <c r="K318" s="36"/>
      <c r="L318" s="38" t="s">
        <v>154</v>
      </c>
      <c r="M318" s="38"/>
      <c r="N318" s="149"/>
      <c r="O318" s="172"/>
      <c r="P318" s="172"/>
      <c r="Q318" s="125">
        <f>SUM(Q319:Q328)</f>
        <v>13016000000</v>
      </c>
      <c r="R318" s="39">
        <f>+R319+R328</f>
        <v>13016000000</v>
      </c>
      <c r="S318" s="37"/>
      <c r="T318" s="40"/>
      <c r="U318" s="270"/>
      <c r="V318" s="316"/>
      <c r="W318" s="347"/>
      <c r="X318" s="39"/>
      <c r="Y318" s="39"/>
      <c r="Z318" s="375"/>
      <c r="AA318" s="375"/>
      <c r="AB318" s="375"/>
      <c r="AC318" s="375"/>
      <c r="AD318" s="375"/>
      <c r="AG318" s="273"/>
      <c r="AH318" s="273"/>
    </row>
    <row r="319" spans="2:34" ht="15.75" customHeight="1" thickBot="1" x14ac:dyDescent="0.25">
      <c r="B319" s="13" t="s">
        <v>149</v>
      </c>
      <c r="C319" s="14"/>
      <c r="D319" s="14" t="s">
        <v>150</v>
      </c>
      <c r="E319" s="14"/>
      <c r="F319" s="14" t="s">
        <v>151</v>
      </c>
      <c r="G319" s="14"/>
      <c r="H319" s="14">
        <v>2</v>
      </c>
      <c r="I319" s="14"/>
      <c r="J319" s="195"/>
      <c r="K319" s="13"/>
      <c r="L319" s="15" t="s">
        <v>159</v>
      </c>
      <c r="M319" s="15"/>
      <c r="N319" s="131"/>
      <c r="O319" s="154"/>
      <c r="P319" s="154"/>
      <c r="Q319" s="125">
        <v>3751000000</v>
      </c>
      <c r="R319" s="16">
        <f>+R320</f>
        <v>3751000000</v>
      </c>
      <c r="S319" s="14"/>
      <c r="T319" s="17"/>
      <c r="U319" s="252"/>
      <c r="V319" s="299"/>
      <c r="W319" s="329"/>
      <c r="X319" s="16"/>
      <c r="Y319" s="16"/>
      <c r="Z319" s="353"/>
      <c r="AA319" s="353"/>
      <c r="AB319" s="353"/>
      <c r="AC319" s="353"/>
      <c r="AD319" s="353"/>
      <c r="AG319" s="273"/>
      <c r="AH319" s="273"/>
    </row>
    <row r="320" spans="2:34" ht="15.75" customHeight="1" x14ac:dyDescent="0.25">
      <c r="B320" s="19" t="s">
        <v>7</v>
      </c>
      <c r="C320" s="20" t="s">
        <v>20</v>
      </c>
      <c r="D320" s="20"/>
      <c r="E320" s="20"/>
      <c r="F320" s="20"/>
      <c r="G320" s="20"/>
      <c r="H320" s="20"/>
      <c r="I320" s="20"/>
      <c r="J320" s="192"/>
      <c r="K320" s="219"/>
      <c r="L320" s="220" t="s">
        <v>412</v>
      </c>
      <c r="M320" s="274"/>
      <c r="N320" s="275"/>
      <c r="O320" s="276"/>
      <c r="P320" s="276"/>
      <c r="Q320" s="277"/>
      <c r="R320" s="282">
        <f>SUM(R321:R327)</f>
        <v>3751000000</v>
      </c>
      <c r="S320" s="278"/>
      <c r="T320" s="279"/>
      <c r="U320" s="280"/>
      <c r="V320" s="317"/>
      <c r="W320" s="348"/>
      <c r="X320" s="282"/>
      <c r="Y320" s="282"/>
      <c r="Z320" s="376"/>
      <c r="AA320" s="376"/>
      <c r="AB320" s="376"/>
      <c r="AC320" s="376"/>
      <c r="AD320" s="376"/>
      <c r="AG320" s="273"/>
      <c r="AH320" s="273"/>
    </row>
    <row r="321" spans="2:34" ht="45" customHeight="1" x14ac:dyDescent="0.2">
      <c r="B321" s="623"/>
      <c r="C321" s="624"/>
      <c r="D321" s="624"/>
      <c r="E321" s="624"/>
      <c r="F321" s="624"/>
      <c r="G321" s="624"/>
      <c r="H321" s="624"/>
      <c r="I321" s="624"/>
      <c r="J321" s="624"/>
      <c r="K321" s="177" t="s">
        <v>343</v>
      </c>
      <c r="L321" s="178" t="s">
        <v>356</v>
      </c>
      <c r="M321" s="134">
        <v>43952</v>
      </c>
      <c r="N321" s="134">
        <v>43983</v>
      </c>
      <c r="O321" s="157" t="s">
        <v>357</v>
      </c>
      <c r="P321" s="157" t="s">
        <v>317</v>
      </c>
      <c r="Q321" s="125"/>
      <c r="R321" s="101">
        <v>3125500000</v>
      </c>
      <c r="S321" s="182" t="s">
        <v>322</v>
      </c>
      <c r="T321" s="101">
        <v>7672900000</v>
      </c>
      <c r="U321" s="257" t="s">
        <v>359</v>
      </c>
      <c r="V321" s="302"/>
      <c r="W321" s="332"/>
      <c r="X321" s="174"/>
      <c r="Y321" s="174"/>
      <c r="Z321" s="352"/>
      <c r="AA321" s="352"/>
      <c r="AB321" s="352"/>
      <c r="AC321" s="352"/>
      <c r="AD321" s="352"/>
      <c r="AG321" s="273"/>
      <c r="AH321" s="273"/>
    </row>
    <row r="322" spans="2:34" ht="30" customHeight="1" x14ac:dyDescent="0.2">
      <c r="B322" s="625"/>
      <c r="C322" s="626"/>
      <c r="D322" s="626"/>
      <c r="E322" s="626"/>
      <c r="F322" s="626"/>
      <c r="G322" s="626"/>
      <c r="H322" s="626"/>
      <c r="I322" s="626"/>
      <c r="J322" s="626"/>
      <c r="K322" s="99">
        <v>81101500</v>
      </c>
      <c r="L322" s="178" t="s">
        <v>358</v>
      </c>
      <c r="M322" s="134">
        <v>43952</v>
      </c>
      <c r="N322" s="134">
        <v>43983</v>
      </c>
      <c r="O322" s="157" t="s">
        <v>357</v>
      </c>
      <c r="P322" s="157" t="s">
        <v>376</v>
      </c>
      <c r="Q322" s="125"/>
      <c r="R322" s="101">
        <v>234500000</v>
      </c>
      <c r="S322" s="182" t="s">
        <v>322</v>
      </c>
      <c r="T322" s="101">
        <v>596100000</v>
      </c>
      <c r="U322" s="257" t="s">
        <v>359</v>
      </c>
      <c r="V322" s="302"/>
      <c r="W322" s="332"/>
      <c r="X322" s="174"/>
      <c r="Y322" s="174"/>
      <c r="Z322" s="352"/>
      <c r="AA322" s="352"/>
      <c r="AB322" s="352"/>
      <c r="AC322" s="352"/>
      <c r="AD322" s="352"/>
      <c r="AG322" s="273"/>
      <c r="AH322" s="273"/>
    </row>
    <row r="323" spans="2:34" ht="30" customHeight="1" x14ac:dyDescent="0.2">
      <c r="B323" s="625"/>
      <c r="C323" s="626"/>
      <c r="D323" s="626"/>
      <c r="E323" s="626"/>
      <c r="F323" s="626"/>
      <c r="G323" s="626"/>
      <c r="H323" s="626"/>
      <c r="I323" s="626"/>
      <c r="J323" s="626"/>
      <c r="K323" s="99">
        <v>81101500</v>
      </c>
      <c r="L323" s="178" t="s">
        <v>349</v>
      </c>
      <c r="M323" s="134">
        <v>43834</v>
      </c>
      <c r="N323" s="134">
        <v>43840</v>
      </c>
      <c r="O323" s="157" t="s">
        <v>324</v>
      </c>
      <c r="P323" s="157" t="s">
        <v>338</v>
      </c>
      <c r="Q323" s="125"/>
      <c r="R323" s="101">
        <f>79500000-20000000</f>
        <v>59500000</v>
      </c>
      <c r="S323" s="182" t="s">
        <v>350</v>
      </c>
      <c r="T323" s="101"/>
      <c r="U323" s="257" t="s">
        <v>359</v>
      </c>
      <c r="V323" s="302">
        <v>2920</v>
      </c>
      <c r="W323" s="332">
        <v>43843</v>
      </c>
      <c r="X323" s="174">
        <v>58905000</v>
      </c>
      <c r="Y323" s="174">
        <v>58905000</v>
      </c>
      <c r="Z323" s="352">
        <v>58905000</v>
      </c>
      <c r="AA323" s="352">
        <f>+R323-Y323</f>
        <v>595000</v>
      </c>
      <c r="AB323" s="352">
        <f>+Z323-AA323</f>
        <v>58310000</v>
      </c>
      <c r="AC323" s="352">
        <f>IF(Z323=0,"0",IF(Z323&gt;0,Y323-Z323,))</f>
        <v>0</v>
      </c>
      <c r="AD323" s="352">
        <f>+R323-Y323+AB323</f>
        <v>58905000</v>
      </c>
      <c r="AG323" s="273"/>
      <c r="AH323" s="273"/>
    </row>
    <row r="324" spans="2:34" ht="27.75" customHeight="1" x14ac:dyDescent="0.2">
      <c r="B324" s="625"/>
      <c r="C324" s="626"/>
      <c r="D324" s="626"/>
      <c r="E324" s="626"/>
      <c r="F324" s="626"/>
      <c r="G324" s="626"/>
      <c r="H324" s="626"/>
      <c r="I324" s="626"/>
      <c r="J324" s="626"/>
      <c r="K324" s="99">
        <v>81101500</v>
      </c>
      <c r="L324" s="178" t="s">
        <v>404</v>
      </c>
      <c r="M324" s="247">
        <v>43840</v>
      </c>
      <c r="N324" s="134">
        <v>43871</v>
      </c>
      <c r="O324" s="157" t="s">
        <v>402</v>
      </c>
      <c r="P324" s="157" t="s">
        <v>376</v>
      </c>
      <c r="Q324" s="125"/>
      <c r="R324" s="101">
        <v>50000000</v>
      </c>
      <c r="S324" s="182"/>
      <c r="T324" s="101"/>
      <c r="U324" s="257" t="s">
        <v>359</v>
      </c>
      <c r="V324" s="302">
        <v>3020</v>
      </c>
      <c r="W324" s="332">
        <v>43843</v>
      </c>
      <c r="X324" s="174">
        <v>50000000</v>
      </c>
      <c r="Y324" s="174">
        <v>50000000</v>
      </c>
      <c r="Z324" s="352"/>
      <c r="AA324" s="352">
        <f>+R324-Y324</f>
        <v>0</v>
      </c>
      <c r="AB324" s="352">
        <f>+Z324-AA324</f>
        <v>0</v>
      </c>
      <c r="AC324" s="352" t="str">
        <f>IF(Z324=0,"0",IF(Z324&gt;0,Y324-Z324,))</f>
        <v>0</v>
      </c>
      <c r="AD324" s="352">
        <f>+R324-Y324+AB324</f>
        <v>0</v>
      </c>
      <c r="AG324" s="273"/>
      <c r="AH324" s="273"/>
    </row>
    <row r="325" spans="2:34" ht="15" customHeight="1" x14ac:dyDescent="0.2">
      <c r="B325" s="625"/>
      <c r="C325" s="626"/>
      <c r="D325" s="626"/>
      <c r="E325" s="626"/>
      <c r="F325" s="626"/>
      <c r="G325" s="626"/>
      <c r="H325" s="626"/>
      <c r="I325" s="626"/>
      <c r="J325" s="626"/>
      <c r="K325" s="99">
        <v>90121600</v>
      </c>
      <c r="L325" s="178" t="s">
        <v>351</v>
      </c>
      <c r="M325" s="134">
        <v>43901</v>
      </c>
      <c r="N325" s="134">
        <v>43920</v>
      </c>
      <c r="O325" s="157" t="s">
        <v>324</v>
      </c>
      <c r="P325" s="157" t="s">
        <v>319</v>
      </c>
      <c r="Q325" s="125"/>
      <c r="R325" s="101">
        <v>75000000</v>
      </c>
      <c r="S325" s="182" t="s">
        <v>322</v>
      </c>
      <c r="T325" s="101"/>
      <c r="U325" s="257" t="s">
        <v>270</v>
      </c>
      <c r="V325" s="302"/>
      <c r="W325" s="332"/>
      <c r="X325" s="174"/>
      <c r="Y325" s="174"/>
      <c r="Z325" s="352"/>
      <c r="AA325" s="352"/>
      <c r="AB325" s="352"/>
      <c r="AC325" s="352"/>
      <c r="AD325" s="352"/>
      <c r="AG325" s="273"/>
      <c r="AH325" s="273"/>
    </row>
    <row r="326" spans="2:34" ht="30" customHeight="1" x14ac:dyDescent="0.2">
      <c r="B326" s="625"/>
      <c r="C326" s="626"/>
      <c r="D326" s="626"/>
      <c r="E326" s="626"/>
      <c r="F326" s="626"/>
      <c r="G326" s="626"/>
      <c r="H326" s="626"/>
      <c r="I326" s="626"/>
      <c r="J326" s="626"/>
      <c r="K326" s="99">
        <v>90111500</v>
      </c>
      <c r="L326" s="178" t="s">
        <v>352</v>
      </c>
      <c r="M326" s="178"/>
      <c r="N326" s="134">
        <v>43840</v>
      </c>
      <c r="O326" s="157" t="s">
        <v>324</v>
      </c>
      <c r="P326" s="157"/>
      <c r="Q326" s="125"/>
      <c r="R326" s="101">
        <v>103250000</v>
      </c>
      <c r="S326" s="182" t="s">
        <v>322</v>
      </c>
      <c r="T326" s="101">
        <v>128250000</v>
      </c>
      <c r="U326" s="257" t="s">
        <v>359</v>
      </c>
      <c r="V326" s="599">
        <v>5720</v>
      </c>
      <c r="W326" s="602">
        <v>43847</v>
      </c>
      <c r="X326" s="605">
        <v>206500000</v>
      </c>
      <c r="Y326" s="605">
        <v>206500000</v>
      </c>
      <c r="Z326" s="593"/>
      <c r="AA326" s="593"/>
      <c r="AB326" s="593"/>
      <c r="AC326" s="593"/>
      <c r="AD326" s="593"/>
      <c r="AG326" s="273"/>
      <c r="AH326" s="273"/>
    </row>
    <row r="327" spans="2:34" ht="30" customHeight="1" x14ac:dyDescent="0.2">
      <c r="B327" s="625"/>
      <c r="C327" s="626"/>
      <c r="D327" s="626"/>
      <c r="E327" s="626"/>
      <c r="F327" s="626"/>
      <c r="G327" s="626"/>
      <c r="H327" s="626"/>
      <c r="I327" s="626"/>
      <c r="J327" s="626"/>
      <c r="K327" s="99">
        <v>90101500</v>
      </c>
      <c r="L327" s="178" t="s">
        <v>353</v>
      </c>
      <c r="M327" s="178"/>
      <c r="N327" s="134">
        <v>43840</v>
      </c>
      <c r="O327" s="157" t="s">
        <v>324</v>
      </c>
      <c r="P327" s="157"/>
      <c r="Q327" s="125"/>
      <c r="R327" s="101">
        <v>103250000</v>
      </c>
      <c r="S327" s="182" t="s">
        <v>322</v>
      </c>
      <c r="T327" s="101">
        <v>128250000</v>
      </c>
      <c r="U327" s="257" t="s">
        <v>359</v>
      </c>
      <c r="V327" s="601"/>
      <c r="W327" s="604"/>
      <c r="X327" s="607"/>
      <c r="Y327" s="607"/>
      <c r="Z327" s="595"/>
      <c r="AA327" s="595"/>
      <c r="AB327" s="595"/>
      <c r="AC327" s="595"/>
      <c r="AD327" s="595"/>
      <c r="AG327" s="273"/>
      <c r="AH327" s="273"/>
    </row>
    <row r="328" spans="2:34" ht="30.75" customHeight="1" thickBot="1" x14ac:dyDescent="0.25">
      <c r="B328" s="103" t="s">
        <v>149</v>
      </c>
      <c r="C328" s="104"/>
      <c r="D328" s="104" t="s">
        <v>150</v>
      </c>
      <c r="E328" s="104"/>
      <c r="F328" s="104" t="s">
        <v>151</v>
      </c>
      <c r="G328" s="104"/>
      <c r="H328" s="104" t="s">
        <v>32</v>
      </c>
      <c r="I328" s="104"/>
      <c r="J328" s="211"/>
      <c r="K328" s="13"/>
      <c r="L328" s="15" t="s">
        <v>170</v>
      </c>
      <c r="M328" s="15"/>
      <c r="N328" s="131"/>
      <c r="O328" s="154"/>
      <c r="P328" s="154"/>
      <c r="Q328" s="125">
        <v>9265000000</v>
      </c>
      <c r="R328" s="16">
        <f>+R329</f>
        <v>9265000000</v>
      </c>
      <c r="S328" s="218">
        <f>+Q328-R328</f>
        <v>0</v>
      </c>
      <c r="T328" s="17"/>
      <c r="U328" s="252"/>
      <c r="V328" s="299"/>
      <c r="W328" s="329"/>
      <c r="X328" s="16"/>
      <c r="Y328" s="16"/>
      <c r="Z328" s="353"/>
      <c r="AA328" s="353"/>
      <c r="AB328" s="353"/>
      <c r="AC328" s="353"/>
      <c r="AD328" s="353"/>
      <c r="AG328" s="273"/>
      <c r="AH328" s="273"/>
    </row>
    <row r="329" spans="2:34" ht="15.75" customHeight="1" x14ac:dyDescent="0.25">
      <c r="B329" s="19" t="s">
        <v>7</v>
      </c>
      <c r="C329" s="20" t="s">
        <v>20</v>
      </c>
      <c r="D329" s="20"/>
      <c r="E329" s="20"/>
      <c r="F329" s="20"/>
      <c r="G329" s="20"/>
      <c r="H329" s="20"/>
      <c r="I329" s="20"/>
      <c r="J329" s="192"/>
      <c r="K329" s="219"/>
      <c r="L329" s="220" t="s">
        <v>412</v>
      </c>
      <c r="M329" s="274"/>
      <c r="N329" s="275"/>
      <c r="O329" s="276"/>
      <c r="P329" s="276"/>
      <c r="Q329" s="277"/>
      <c r="R329" s="282">
        <f>SUM(R330:R347)</f>
        <v>9265000000</v>
      </c>
      <c r="S329" s="281"/>
      <c r="T329" s="279"/>
      <c r="U329" s="280"/>
      <c r="V329" s="317"/>
      <c r="W329" s="348"/>
      <c r="X329" s="282"/>
      <c r="Y329" s="282"/>
      <c r="Z329" s="376"/>
      <c r="AA329" s="376"/>
      <c r="AB329" s="376"/>
      <c r="AC329" s="376"/>
      <c r="AD329" s="376"/>
      <c r="AG329" s="273"/>
      <c r="AH329" s="273"/>
    </row>
    <row r="330" spans="2:34" ht="45" customHeight="1" x14ac:dyDescent="0.2">
      <c r="B330" s="623"/>
      <c r="C330" s="624"/>
      <c r="D330" s="624"/>
      <c r="E330" s="624"/>
      <c r="F330" s="624"/>
      <c r="G330" s="624"/>
      <c r="H330" s="624"/>
      <c r="I330" s="624"/>
      <c r="J330" s="624"/>
      <c r="K330" s="177" t="s">
        <v>343</v>
      </c>
      <c r="L330" s="178" t="s">
        <v>405</v>
      </c>
      <c r="M330" s="134">
        <v>43952</v>
      </c>
      <c r="N330" s="134">
        <v>43983</v>
      </c>
      <c r="O330" s="157" t="s">
        <v>326</v>
      </c>
      <c r="P330" s="157" t="s">
        <v>317</v>
      </c>
      <c r="Q330" s="125"/>
      <c r="R330" s="101">
        <v>2865000000</v>
      </c>
      <c r="S330" s="182" t="s">
        <v>322</v>
      </c>
      <c r="T330" s="101">
        <v>5000000000</v>
      </c>
      <c r="U330" s="257" t="s">
        <v>359</v>
      </c>
      <c r="V330" s="302"/>
      <c r="W330" s="332"/>
      <c r="X330" s="174"/>
      <c r="Y330" s="174"/>
      <c r="Z330" s="352"/>
      <c r="AA330" s="352"/>
      <c r="AB330" s="352"/>
      <c r="AC330" s="352"/>
      <c r="AD330" s="352"/>
      <c r="AG330" s="273"/>
      <c r="AH330" s="273"/>
    </row>
    <row r="331" spans="2:34" ht="30" customHeight="1" x14ac:dyDescent="0.2">
      <c r="B331" s="625"/>
      <c r="C331" s="626"/>
      <c r="D331" s="626"/>
      <c r="E331" s="626"/>
      <c r="F331" s="626"/>
      <c r="G331" s="626"/>
      <c r="H331" s="626"/>
      <c r="I331" s="626"/>
      <c r="J331" s="626"/>
      <c r="K331" s="99">
        <v>81101500</v>
      </c>
      <c r="L331" s="178" t="s">
        <v>344</v>
      </c>
      <c r="M331" s="134">
        <v>43952</v>
      </c>
      <c r="N331" s="134">
        <v>43983</v>
      </c>
      <c r="O331" s="157" t="s">
        <v>326</v>
      </c>
      <c r="P331" s="157" t="s">
        <v>376</v>
      </c>
      <c r="Q331" s="125"/>
      <c r="R331" s="101">
        <v>140000000</v>
      </c>
      <c r="S331" s="182" t="s">
        <v>322</v>
      </c>
      <c r="T331" s="101">
        <v>250000000</v>
      </c>
      <c r="U331" s="257" t="s">
        <v>359</v>
      </c>
      <c r="V331" s="302"/>
      <c r="W331" s="332"/>
      <c r="X331" s="174"/>
      <c r="Y331" s="174"/>
      <c r="Z331" s="352"/>
      <c r="AA331" s="352"/>
      <c r="AB331" s="352"/>
      <c r="AC331" s="352"/>
      <c r="AD331" s="352"/>
      <c r="AG331" s="273"/>
      <c r="AH331" s="273"/>
    </row>
    <row r="332" spans="2:34" ht="45" customHeight="1" x14ac:dyDescent="0.2">
      <c r="B332" s="625"/>
      <c r="C332" s="626"/>
      <c r="D332" s="626"/>
      <c r="E332" s="626"/>
      <c r="F332" s="626"/>
      <c r="G332" s="626"/>
      <c r="H332" s="626"/>
      <c r="I332" s="626"/>
      <c r="J332" s="626"/>
      <c r="K332" s="177" t="s">
        <v>343</v>
      </c>
      <c r="L332" s="178" t="s">
        <v>406</v>
      </c>
      <c r="M332" s="134">
        <v>43952</v>
      </c>
      <c r="N332" s="134">
        <v>43983</v>
      </c>
      <c r="O332" s="157" t="s">
        <v>326</v>
      </c>
      <c r="P332" s="157" t="s">
        <v>317</v>
      </c>
      <c r="Q332" s="125"/>
      <c r="R332" s="101">
        <v>1500000000</v>
      </c>
      <c r="S332" s="182" t="s">
        <v>322</v>
      </c>
      <c r="T332" s="101">
        <v>2500000000</v>
      </c>
      <c r="U332" s="257" t="s">
        <v>359</v>
      </c>
      <c r="V332" s="302"/>
      <c r="W332" s="332"/>
      <c r="X332" s="174"/>
      <c r="Y332" s="174"/>
      <c r="Z332" s="352"/>
      <c r="AA332" s="352"/>
      <c r="AB332" s="352"/>
      <c r="AC332" s="352"/>
      <c r="AD332" s="352"/>
      <c r="AG332" s="273"/>
      <c r="AH332" s="273"/>
    </row>
    <row r="333" spans="2:34" ht="30" customHeight="1" x14ac:dyDescent="0.2">
      <c r="B333" s="625"/>
      <c r="C333" s="626"/>
      <c r="D333" s="626"/>
      <c r="E333" s="626"/>
      <c r="F333" s="626"/>
      <c r="G333" s="626"/>
      <c r="H333" s="626"/>
      <c r="I333" s="626"/>
      <c r="J333" s="626"/>
      <c r="K333" s="99">
        <v>81101500</v>
      </c>
      <c r="L333" s="178" t="s">
        <v>345</v>
      </c>
      <c r="M333" s="134">
        <v>43952</v>
      </c>
      <c r="N333" s="134">
        <v>43983</v>
      </c>
      <c r="O333" s="157" t="s">
        <v>326</v>
      </c>
      <c r="P333" s="157" t="s">
        <v>376</v>
      </c>
      <c r="Q333" s="125"/>
      <c r="R333" s="101">
        <v>140000000</v>
      </c>
      <c r="S333" s="182" t="s">
        <v>322</v>
      </c>
      <c r="T333" s="101">
        <v>250000000</v>
      </c>
      <c r="U333" s="257" t="s">
        <v>359</v>
      </c>
      <c r="V333" s="302"/>
      <c r="W333" s="332"/>
      <c r="X333" s="174"/>
      <c r="Y333" s="174"/>
      <c r="Z333" s="352"/>
      <c r="AA333" s="352"/>
      <c r="AB333" s="352"/>
      <c r="AC333" s="352"/>
      <c r="AD333" s="352"/>
      <c r="AG333" s="273"/>
      <c r="AH333" s="273"/>
    </row>
    <row r="334" spans="2:34" ht="45" customHeight="1" x14ac:dyDescent="0.2">
      <c r="B334" s="625"/>
      <c r="C334" s="626"/>
      <c r="D334" s="626"/>
      <c r="E334" s="626"/>
      <c r="F334" s="626"/>
      <c r="G334" s="626"/>
      <c r="H334" s="626"/>
      <c r="I334" s="626"/>
      <c r="J334" s="626"/>
      <c r="K334" s="177" t="s">
        <v>343</v>
      </c>
      <c r="L334" s="178" t="s">
        <v>407</v>
      </c>
      <c r="M334" s="134">
        <v>43952</v>
      </c>
      <c r="N334" s="134">
        <v>43983</v>
      </c>
      <c r="O334" s="157" t="s">
        <v>307</v>
      </c>
      <c r="P334" s="157" t="s">
        <v>317</v>
      </c>
      <c r="Q334" s="125"/>
      <c r="R334" s="101">
        <v>638417004.98000002</v>
      </c>
      <c r="S334" s="182" t="s">
        <v>322</v>
      </c>
      <c r="T334" s="101">
        <v>1050000000</v>
      </c>
      <c r="U334" s="257" t="s">
        <v>359</v>
      </c>
      <c r="V334" s="302"/>
      <c r="W334" s="332"/>
      <c r="X334" s="174"/>
      <c r="Y334" s="174"/>
      <c r="Z334" s="352"/>
      <c r="AA334" s="352"/>
      <c r="AB334" s="352"/>
      <c r="AC334" s="352"/>
      <c r="AD334" s="352"/>
      <c r="AG334" s="273"/>
      <c r="AH334" s="273"/>
    </row>
    <row r="335" spans="2:34" ht="30" customHeight="1" x14ac:dyDescent="0.2">
      <c r="B335" s="625"/>
      <c r="C335" s="626"/>
      <c r="D335" s="626"/>
      <c r="E335" s="626"/>
      <c r="F335" s="626"/>
      <c r="G335" s="626"/>
      <c r="H335" s="626"/>
      <c r="I335" s="626"/>
      <c r="J335" s="626"/>
      <c r="K335" s="99">
        <v>81101500</v>
      </c>
      <c r="L335" s="178" t="s">
        <v>346</v>
      </c>
      <c r="M335" s="134">
        <v>43952</v>
      </c>
      <c r="N335" s="134">
        <v>43983</v>
      </c>
      <c r="O335" s="157" t="s">
        <v>307</v>
      </c>
      <c r="P335" s="157" t="s">
        <v>376</v>
      </c>
      <c r="Q335" s="125"/>
      <c r="R335" s="101">
        <v>52000000</v>
      </c>
      <c r="S335" s="182" t="s">
        <v>322</v>
      </c>
      <c r="T335" s="101">
        <v>84000000</v>
      </c>
      <c r="U335" s="257" t="s">
        <v>359</v>
      </c>
      <c r="V335" s="302"/>
      <c r="W335" s="332"/>
      <c r="X335" s="174"/>
      <c r="Y335" s="174"/>
      <c r="Z335" s="352"/>
      <c r="AA335" s="352"/>
      <c r="AB335" s="352"/>
      <c r="AC335" s="352"/>
      <c r="AD335" s="352"/>
      <c r="AG335" s="273"/>
      <c r="AH335" s="273"/>
    </row>
    <row r="336" spans="2:34" ht="45" customHeight="1" x14ac:dyDescent="0.2">
      <c r="B336" s="625"/>
      <c r="C336" s="626"/>
      <c r="D336" s="626"/>
      <c r="E336" s="626"/>
      <c r="F336" s="626"/>
      <c r="G336" s="626"/>
      <c r="H336" s="626"/>
      <c r="I336" s="626"/>
      <c r="J336" s="626"/>
      <c r="K336" s="177" t="s">
        <v>343</v>
      </c>
      <c r="L336" s="178" t="s">
        <v>408</v>
      </c>
      <c r="M336" s="134">
        <v>43850</v>
      </c>
      <c r="N336" s="134">
        <v>43881</v>
      </c>
      <c r="O336" s="157" t="s">
        <v>307</v>
      </c>
      <c r="P336" s="157" t="s">
        <v>317</v>
      </c>
      <c r="Q336" s="125"/>
      <c r="R336" s="101">
        <v>1412090167.29</v>
      </c>
      <c r="S336" s="182" t="s">
        <v>350</v>
      </c>
      <c r="T336" s="101"/>
      <c r="U336" s="257" t="s">
        <v>359</v>
      </c>
      <c r="V336" s="302"/>
      <c r="W336" s="332"/>
      <c r="X336" s="174"/>
      <c r="Y336" s="174"/>
      <c r="Z336" s="352"/>
      <c r="AA336" s="352"/>
      <c r="AB336" s="352"/>
      <c r="AC336" s="352"/>
      <c r="AD336" s="352"/>
      <c r="AG336" s="273"/>
      <c r="AH336" s="273"/>
    </row>
    <row r="337" spans="2:34" ht="30" customHeight="1" x14ac:dyDescent="0.2">
      <c r="B337" s="625"/>
      <c r="C337" s="626"/>
      <c r="D337" s="626"/>
      <c r="E337" s="626"/>
      <c r="F337" s="626"/>
      <c r="G337" s="626"/>
      <c r="H337" s="626"/>
      <c r="I337" s="626"/>
      <c r="J337" s="626"/>
      <c r="K337" s="99">
        <v>81101500</v>
      </c>
      <c r="L337" s="178" t="s">
        <v>347</v>
      </c>
      <c r="M337" s="134">
        <v>43850</v>
      </c>
      <c r="N337" s="134">
        <v>43881</v>
      </c>
      <c r="O337" s="157" t="s">
        <v>307</v>
      </c>
      <c r="P337" s="157" t="s">
        <v>376</v>
      </c>
      <c r="Q337" s="125"/>
      <c r="R337" s="101">
        <v>130000000</v>
      </c>
      <c r="S337" s="182" t="s">
        <v>350</v>
      </c>
      <c r="T337" s="101"/>
      <c r="U337" s="257" t="s">
        <v>359</v>
      </c>
      <c r="V337" s="302"/>
      <c r="W337" s="332"/>
      <c r="X337" s="174"/>
      <c r="Y337" s="174"/>
      <c r="Z337" s="352"/>
      <c r="AA337" s="352"/>
      <c r="AB337" s="352"/>
      <c r="AC337" s="352"/>
      <c r="AD337" s="352"/>
      <c r="AG337" s="273"/>
      <c r="AH337" s="273"/>
    </row>
    <row r="338" spans="2:34" ht="45" customHeight="1" x14ac:dyDescent="0.2">
      <c r="B338" s="625"/>
      <c r="C338" s="626"/>
      <c r="D338" s="626"/>
      <c r="E338" s="626"/>
      <c r="F338" s="626"/>
      <c r="G338" s="626"/>
      <c r="H338" s="626"/>
      <c r="I338" s="626"/>
      <c r="J338" s="626"/>
      <c r="K338" s="177" t="s">
        <v>343</v>
      </c>
      <c r="L338" s="178" t="s">
        <v>409</v>
      </c>
      <c r="M338" s="134">
        <v>43850</v>
      </c>
      <c r="N338" s="134">
        <v>43881</v>
      </c>
      <c r="O338" s="157" t="s">
        <v>307</v>
      </c>
      <c r="P338" s="157" t="s">
        <v>317</v>
      </c>
      <c r="Q338" s="125"/>
      <c r="R338" s="101">
        <v>1530695327.73</v>
      </c>
      <c r="S338" s="182" t="s">
        <v>350</v>
      </c>
      <c r="T338" s="101"/>
      <c r="U338" s="257" t="s">
        <v>359</v>
      </c>
      <c r="V338" s="302"/>
      <c r="W338" s="332"/>
      <c r="X338" s="174"/>
      <c r="Y338" s="174"/>
      <c r="Z338" s="352"/>
      <c r="AA338" s="352"/>
      <c r="AB338" s="352"/>
      <c r="AC338" s="352"/>
      <c r="AD338" s="352"/>
      <c r="AG338" s="273"/>
      <c r="AH338" s="273"/>
    </row>
    <row r="339" spans="2:34" ht="30" customHeight="1" x14ac:dyDescent="0.2">
      <c r="B339" s="625"/>
      <c r="C339" s="626"/>
      <c r="D339" s="626"/>
      <c r="E339" s="626"/>
      <c r="F339" s="626"/>
      <c r="G339" s="626"/>
      <c r="H339" s="626"/>
      <c r="I339" s="626"/>
      <c r="J339" s="626"/>
      <c r="K339" s="99">
        <v>81101500</v>
      </c>
      <c r="L339" s="178" t="s">
        <v>348</v>
      </c>
      <c r="M339" s="134">
        <v>43850</v>
      </c>
      <c r="N339" s="134">
        <v>43881</v>
      </c>
      <c r="O339" s="157" t="s">
        <v>307</v>
      </c>
      <c r="P339" s="157" t="s">
        <v>376</v>
      </c>
      <c r="Q339" s="125"/>
      <c r="R339" s="101">
        <v>130000000</v>
      </c>
      <c r="S339" s="182" t="s">
        <v>350</v>
      </c>
      <c r="T339" s="101"/>
      <c r="U339" s="257" t="s">
        <v>359</v>
      </c>
      <c r="V339" s="302"/>
      <c r="W339" s="332"/>
      <c r="X339" s="174"/>
      <c r="Y339" s="174"/>
      <c r="Z339" s="352"/>
      <c r="AA339" s="352"/>
      <c r="AB339" s="352"/>
      <c r="AC339" s="352"/>
      <c r="AD339" s="352"/>
      <c r="AG339" s="273"/>
      <c r="AH339" s="273"/>
    </row>
    <row r="340" spans="2:34" ht="45" customHeight="1" x14ac:dyDescent="0.2">
      <c r="B340" s="625"/>
      <c r="C340" s="626"/>
      <c r="D340" s="626"/>
      <c r="E340" s="626"/>
      <c r="F340" s="626"/>
      <c r="G340" s="626"/>
      <c r="H340" s="626"/>
      <c r="I340" s="626"/>
      <c r="J340" s="626"/>
      <c r="K340" s="177" t="s">
        <v>343</v>
      </c>
      <c r="L340" s="178" t="s">
        <v>410</v>
      </c>
      <c r="M340" s="134">
        <v>43850</v>
      </c>
      <c r="N340" s="134">
        <v>43892</v>
      </c>
      <c r="O340" s="157" t="s">
        <v>337</v>
      </c>
      <c r="P340" s="157" t="s">
        <v>319</v>
      </c>
      <c r="Q340" s="125"/>
      <c r="R340" s="101">
        <v>125000000</v>
      </c>
      <c r="S340" s="182" t="s">
        <v>350</v>
      </c>
      <c r="T340" s="101"/>
      <c r="U340" s="257" t="s">
        <v>359</v>
      </c>
      <c r="V340" s="302"/>
      <c r="W340" s="332"/>
      <c r="X340" s="174"/>
      <c r="Y340" s="174"/>
      <c r="Z340" s="352"/>
      <c r="AA340" s="352"/>
      <c r="AB340" s="352"/>
      <c r="AC340" s="352"/>
      <c r="AD340" s="352"/>
      <c r="AG340" s="273"/>
      <c r="AH340" s="273"/>
    </row>
    <row r="341" spans="2:34" ht="30" customHeight="1" x14ac:dyDescent="0.2">
      <c r="B341" s="625"/>
      <c r="C341" s="626"/>
      <c r="D341" s="626"/>
      <c r="E341" s="626"/>
      <c r="F341" s="626"/>
      <c r="G341" s="626"/>
      <c r="H341" s="626"/>
      <c r="I341" s="626"/>
      <c r="J341" s="626"/>
      <c r="K341" s="99">
        <v>81101500</v>
      </c>
      <c r="L341" s="178" t="s">
        <v>349</v>
      </c>
      <c r="M341" s="134">
        <v>43834</v>
      </c>
      <c r="N341" s="134">
        <v>43840</v>
      </c>
      <c r="O341" s="157" t="s">
        <v>324</v>
      </c>
      <c r="P341" s="157" t="s">
        <v>338</v>
      </c>
      <c r="Q341" s="125"/>
      <c r="R341" s="101">
        <v>143797500</v>
      </c>
      <c r="S341" s="182" t="s">
        <v>350</v>
      </c>
      <c r="T341" s="101"/>
      <c r="U341" s="257" t="s">
        <v>359</v>
      </c>
      <c r="V341" s="302" t="s">
        <v>428</v>
      </c>
      <c r="W341" s="332">
        <v>43843</v>
      </c>
      <c r="X341" s="174">
        <v>143797500</v>
      </c>
      <c r="Y341" s="174">
        <v>143797500</v>
      </c>
      <c r="Z341" s="352">
        <f>8715000+47932500+47932500</f>
        <v>104580000</v>
      </c>
      <c r="AA341" s="352">
        <f>+R341-Y341</f>
        <v>0</v>
      </c>
      <c r="AB341" s="352">
        <f>+Z341-AA341</f>
        <v>104580000</v>
      </c>
      <c r="AC341" s="352">
        <f>IF(Z341=0,"0",IF(Z341&gt;0,Y341-Z341,))</f>
        <v>39217500</v>
      </c>
      <c r="AD341" s="352">
        <f>+R341-Y341+AB341</f>
        <v>104580000</v>
      </c>
      <c r="AG341" s="273"/>
      <c r="AH341" s="273"/>
    </row>
    <row r="342" spans="2:34" ht="15" customHeight="1" x14ac:dyDescent="0.2">
      <c r="B342" s="625"/>
      <c r="C342" s="626"/>
      <c r="D342" s="626"/>
      <c r="E342" s="626"/>
      <c r="F342" s="626"/>
      <c r="G342" s="626"/>
      <c r="H342" s="626"/>
      <c r="I342" s="626"/>
      <c r="J342" s="626"/>
      <c r="K342" s="99">
        <v>90121600</v>
      </c>
      <c r="L342" s="100" t="s">
        <v>351</v>
      </c>
      <c r="M342" s="134">
        <v>43901</v>
      </c>
      <c r="N342" s="134">
        <v>43920</v>
      </c>
      <c r="O342" s="157" t="s">
        <v>324</v>
      </c>
      <c r="P342" s="157" t="s">
        <v>319</v>
      </c>
      <c r="Q342" s="125"/>
      <c r="R342" s="101">
        <v>15000000</v>
      </c>
      <c r="S342" s="182" t="s">
        <v>350</v>
      </c>
      <c r="T342" s="101"/>
      <c r="U342" s="257" t="s">
        <v>270</v>
      </c>
      <c r="V342" s="302"/>
      <c r="W342" s="332"/>
      <c r="X342" s="174"/>
      <c r="Y342" s="174"/>
      <c r="Z342" s="352"/>
      <c r="AA342" s="352"/>
      <c r="AB342" s="352"/>
      <c r="AC342" s="352"/>
      <c r="AD342" s="352"/>
      <c r="AG342" s="273"/>
      <c r="AH342" s="273"/>
    </row>
    <row r="343" spans="2:34" ht="30" customHeight="1" x14ac:dyDescent="0.2">
      <c r="B343" s="625"/>
      <c r="C343" s="626"/>
      <c r="D343" s="626"/>
      <c r="E343" s="626"/>
      <c r="F343" s="626"/>
      <c r="G343" s="626"/>
      <c r="H343" s="626"/>
      <c r="I343" s="626"/>
      <c r="J343" s="626"/>
      <c r="K343" s="99">
        <v>90111500</v>
      </c>
      <c r="L343" s="100" t="s">
        <v>352</v>
      </c>
      <c r="M343" s="100"/>
      <c r="N343" s="134">
        <v>43840</v>
      </c>
      <c r="O343" s="157" t="s">
        <v>324</v>
      </c>
      <c r="P343" s="157"/>
      <c r="Q343" s="125"/>
      <c r="R343" s="101">
        <v>5000000</v>
      </c>
      <c r="S343" s="182" t="s">
        <v>350</v>
      </c>
      <c r="T343" s="101"/>
      <c r="U343" s="257" t="s">
        <v>359</v>
      </c>
      <c r="V343" s="302">
        <v>5720</v>
      </c>
      <c r="W343" s="332">
        <v>43847</v>
      </c>
      <c r="X343" s="174">
        <v>10000000</v>
      </c>
      <c r="Y343" s="174">
        <v>10000000</v>
      </c>
      <c r="Z343" s="352"/>
      <c r="AA343" s="352">
        <f>+R343-Y343</f>
        <v>-5000000</v>
      </c>
      <c r="AB343" s="352">
        <f>+Z343-AA343</f>
        <v>5000000</v>
      </c>
      <c r="AC343" s="352" t="str">
        <f>IF(Z343=0,"0",IF(Z343&gt;0,Y343-Z343,))</f>
        <v>0</v>
      </c>
      <c r="AD343" s="352">
        <f>+R343-Y343+AB343</f>
        <v>0</v>
      </c>
      <c r="AG343" s="273"/>
      <c r="AH343" s="273"/>
    </row>
    <row r="344" spans="2:34" ht="30" customHeight="1" x14ac:dyDescent="0.2">
      <c r="B344" s="625"/>
      <c r="C344" s="626"/>
      <c r="D344" s="626"/>
      <c r="E344" s="626"/>
      <c r="F344" s="626"/>
      <c r="G344" s="626"/>
      <c r="H344" s="626"/>
      <c r="I344" s="626"/>
      <c r="J344" s="626"/>
      <c r="K344" s="99">
        <v>90101500</v>
      </c>
      <c r="L344" s="100" t="s">
        <v>353</v>
      </c>
      <c r="M344" s="100"/>
      <c r="N344" s="134">
        <v>43840</v>
      </c>
      <c r="O344" s="157" t="s">
        <v>324</v>
      </c>
      <c r="P344" s="157"/>
      <c r="Q344" s="125"/>
      <c r="R344" s="101">
        <v>5000000</v>
      </c>
      <c r="S344" s="182" t="s">
        <v>350</v>
      </c>
      <c r="T344" s="101"/>
      <c r="U344" s="257" t="s">
        <v>359</v>
      </c>
      <c r="V344" s="302"/>
      <c r="W344" s="332"/>
      <c r="X344" s="174"/>
      <c r="Y344" s="174"/>
      <c r="Z344" s="352"/>
      <c r="AA344" s="352"/>
      <c r="AB344" s="352"/>
      <c r="AC344" s="352"/>
      <c r="AD344" s="352"/>
      <c r="AG344" s="273"/>
      <c r="AH344" s="273"/>
    </row>
    <row r="345" spans="2:34" ht="15" customHeight="1" x14ac:dyDescent="0.2">
      <c r="B345" s="625"/>
      <c r="C345" s="626"/>
      <c r="D345" s="626"/>
      <c r="E345" s="626"/>
      <c r="F345" s="626"/>
      <c r="G345" s="626"/>
      <c r="H345" s="626"/>
      <c r="I345" s="626"/>
      <c r="J345" s="626"/>
      <c r="K345" s="113"/>
      <c r="L345" s="114" t="s">
        <v>354</v>
      </c>
      <c r="M345" s="114"/>
      <c r="N345" s="137"/>
      <c r="O345" s="160"/>
      <c r="P345" s="160"/>
      <c r="Q345" s="125"/>
      <c r="R345" s="115">
        <v>33000000</v>
      </c>
      <c r="S345" s="187" t="s">
        <v>350</v>
      </c>
      <c r="T345" s="115"/>
      <c r="U345" s="256" t="s">
        <v>355</v>
      </c>
      <c r="V345" s="302"/>
      <c r="W345" s="332"/>
      <c r="X345" s="174"/>
      <c r="Y345" s="174"/>
      <c r="Z345" s="352"/>
      <c r="AA345" s="352"/>
      <c r="AB345" s="352"/>
      <c r="AC345" s="352"/>
      <c r="AD345" s="352"/>
      <c r="AG345" s="273"/>
      <c r="AH345" s="273"/>
    </row>
    <row r="346" spans="2:34" ht="60.75" customHeight="1" thickBot="1" x14ac:dyDescent="0.25">
      <c r="B346" s="628"/>
      <c r="C346" s="629"/>
      <c r="D346" s="629"/>
      <c r="E346" s="629"/>
      <c r="F346" s="629"/>
      <c r="G346" s="629"/>
      <c r="H346" s="629"/>
      <c r="I346" s="629"/>
      <c r="J346" s="629"/>
      <c r="K346" s="225" t="s">
        <v>341</v>
      </c>
      <c r="L346" s="105" t="s">
        <v>220</v>
      </c>
      <c r="M346" s="134">
        <v>43525</v>
      </c>
      <c r="N346" s="150">
        <v>43952</v>
      </c>
      <c r="O346" s="173" t="s">
        <v>342</v>
      </c>
      <c r="P346" s="173" t="s">
        <v>317</v>
      </c>
      <c r="Q346" s="126"/>
      <c r="R346" s="106">
        <v>365000000</v>
      </c>
      <c r="S346" s="188" t="s">
        <v>386</v>
      </c>
      <c r="T346" s="106"/>
      <c r="U346" s="271" t="s">
        <v>221</v>
      </c>
      <c r="V346" s="318"/>
      <c r="W346" s="349"/>
      <c r="X346" s="175"/>
      <c r="Y346" s="175"/>
      <c r="Z346" s="377"/>
      <c r="AA346" s="377"/>
      <c r="AB346" s="377"/>
      <c r="AC346" s="377"/>
      <c r="AD346" s="377"/>
      <c r="AG346" s="273"/>
      <c r="AH346" s="273"/>
    </row>
    <row r="347" spans="2:34" ht="30.75" customHeight="1" thickBot="1" x14ac:dyDescent="0.25">
      <c r="B347" s="283"/>
      <c r="C347" s="283"/>
      <c r="D347" s="283"/>
      <c r="E347" s="283"/>
      <c r="F347" s="283"/>
      <c r="G347" s="283"/>
      <c r="H347" s="283"/>
      <c r="I347" s="283"/>
      <c r="J347" s="283"/>
      <c r="K347" s="99">
        <v>81101500</v>
      </c>
      <c r="L347" s="178" t="s">
        <v>415</v>
      </c>
      <c r="M347" s="134">
        <v>43525</v>
      </c>
      <c r="N347" s="150">
        <v>43952</v>
      </c>
      <c r="O347" s="173" t="s">
        <v>342</v>
      </c>
      <c r="P347" s="173" t="s">
        <v>376</v>
      </c>
      <c r="Q347" s="173"/>
      <c r="R347" s="173">
        <v>35000000</v>
      </c>
      <c r="S347" s="173" t="s">
        <v>350</v>
      </c>
      <c r="T347" s="173"/>
      <c r="U347" s="379" t="s">
        <v>221</v>
      </c>
      <c r="V347" s="319"/>
      <c r="W347" s="350"/>
      <c r="X347" s="294"/>
      <c r="Y347" s="294"/>
      <c r="Z347" s="294"/>
      <c r="AA347" s="294"/>
      <c r="AB347" s="294"/>
      <c r="AC347" s="294"/>
      <c r="AD347" s="294"/>
      <c r="AG347" s="273"/>
      <c r="AH347" s="273"/>
    </row>
    <row r="348" spans="2:34" ht="15" customHeight="1" x14ac:dyDescent="0.2"/>
    <row r="349" spans="2:34" ht="15" customHeight="1" x14ac:dyDescent="0.2"/>
    <row r="350" spans="2:34" ht="15" customHeight="1" x14ac:dyDescent="0.2"/>
    <row r="351" spans="2:34" ht="15" customHeight="1" x14ac:dyDescent="0.2">
      <c r="R351" s="1">
        <f>+R148/11</f>
        <v>4600000</v>
      </c>
      <c r="S351" s="3">
        <f>R351*4%</f>
        <v>184000</v>
      </c>
    </row>
    <row r="352" spans="2:34" ht="15" customHeight="1" x14ac:dyDescent="0.2">
      <c r="R352" s="1">
        <v>4000000</v>
      </c>
      <c r="S352" s="246">
        <f>R352*4%</f>
        <v>160000</v>
      </c>
    </row>
    <row r="353" spans="2:29" ht="15" customHeight="1" x14ac:dyDescent="0.2">
      <c r="R353" s="1">
        <v>4400000</v>
      </c>
      <c r="S353" s="246">
        <f>R353*4%</f>
        <v>176000</v>
      </c>
    </row>
    <row r="354" spans="2:29" ht="15" customHeight="1" x14ac:dyDescent="0.2">
      <c r="B354" s="627"/>
      <c r="C354" s="627"/>
      <c r="D354" s="627"/>
      <c r="E354" s="627"/>
      <c r="F354" s="627"/>
      <c r="G354" s="627"/>
      <c r="H354" s="627"/>
      <c r="I354" s="627"/>
      <c r="J354" s="627"/>
      <c r="K354" s="627"/>
    </row>
    <row r="359" spans="2:29" x14ac:dyDescent="0.2">
      <c r="AA359" s="386"/>
    </row>
    <row r="361" spans="2:29" x14ac:dyDescent="0.2">
      <c r="AA361" s="273"/>
      <c r="AC361" s="386"/>
    </row>
  </sheetData>
  <autoFilter ref="B6:AH354"/>
  <mergeCells count="113">
    <mergeCell ref="AA326:AA327"/>
    <mergeCell ref="AB326:AB327"/>
    <mergeCell ref="AC326:AC327"/>
    <mergeCell ref="AD326:AD327"/>
    <mergeCell ref="V326:V327"/>
    <mergeCell ref="W326:W327"/>
    <mergeCell ref="X326:X327"/>
    <mergeCell ref="Y326:Y327"/>
    <mergeCell ref="Z326:Z327"/>
    <mergeCell ref="B287:J287"/>
    <mergeCell ref="B225:J225"/>
    <mergeCell ref="B130:J130"/>
    <mergeCell ref="B132:J132"/>
    <mergeCell ref="B87:J89"/>
    <mergeCell ref="B104:J105"/>
    <mergeCell ref="B136:J137"/>
    <mergeCell ref="B194:J199"/>
    <mergeCell ref="B235:J235"/>
    <mergeCell ref="B228:J228"/>
    <mergeCell ref="B231:J232"/>
    <mergeCell ref="B238:J238"/>
    <mergeCell ref="B243:J252"/>
    <mergeCell ref="B254:J256"/>
    <mergeCell ref="B258:J259"/>
    <mergeCell ref="B273:J273"/>
    <mergeCell ref="B281:J281"/>
    <mergeCell ref="B218:J218"/>
    <mergeCell ref="B268:J268"/>
    <mergeCell ref="B222:J222"/>
    <mergeCell ref="B209:J209"/>
    <mergeCell ref="B211:J211"/>
    <mergeCell ref="B172:J174"/>
    <mergeCell ref="B139:J140"/>
    <mergeCell ref="B15:J15"/>
    <mergeCell ref="B29:J30"/>
    <mergeCell ref="B55:J56"/>
    <mergeCell ref="B58:J59"/>
    <mergeCell ref="B36:J36"/>
    <mergeCell ref="B39:J39"/>
    <mergeCell ref="B42:J42"/>
    <mergeCell ref="B44:J44"/>
    <mergeCell ref="B46:J48"/>
    <mergeCell ref="B50:J51"/>
    <mergeCell ref="B354:K354"/>
    <mergeCell ref="B144:J151"/>
    <mergeCell ref="B153:J153"/>
    <mergeCell ref="B155:J165"/>
    <mergeCell ref="B167:J167"/>
    <mergeCell ref="B169:J169"/>
    <mergeCell ref="B176:J177"/>
    <mergeCell ref="B181:J181"/>
    <mergeCell ref="B183:J188"/>
    <mergeCell ref="B190:J190"/>
    <mergeCell ref="B202:J202"/>
    <mergeCell ref="B277:J277"/>
    <mergeCell ref="B330:J346"/>
    <mergeCell ref="B291:J291"/>
    <mergeCell ref="B294:J294"/>
    <mergeCell ref="B296:J296"/>
    <mergeCell ref="B299:J299"/>
    <mergeCell ref="B301:J301"/>
    <mergeCell ref="B306:J306"/>
    <mergeCell ref="B308:J308"/>
    <mergeCell ref="B310:J310"/>
    <mergeCell ref="B321:J327"/>
    <mergeCell ref="B313:J313"/>
    <mergeCell ref="B315:J315"/>
    <mergeCell ref="Y42:Y44"/>
    <mergeCell ref="Z42:Z44"/>
    <mergeCell ref="AA42:AA44"/>
    <mergeCell ref="B99:J101"/>
    <mergeCell ref="B107:J107"/>
    <mergeCell ref="B205:J205"/>
    <mergeCell ref="B112:J112"/>
    <mergeCell ref="B123:J124"/>
    <mergeCell ref="B115:J117"/>
    <mergeCell ref="B119:J120"/>
    <mergeCell ref="B64:J64"/>
    <mergeCell ref="B72:J72"/>
    <mergeCell ref="B62:J62"/>
    <mergeCell ref="B96:J96"/>
    <mergeCell ref="B92:J93"/>
    <mergeCell ref="B77:J77"/>
    <mergeCell ref="B79:J79"/>
    <mergeCell ref="B84:J84"/>
    <mergeCell ref="B81:J81"/>
    <mergeCell ref="B75:J75"/>
    <mergeCell ref="B67:J67"/>
    <mergeCell ref="B70:J70"/>
    <mergeCell ref="AB42:AB44"/>
    <mergeCell ref="AC42:AC44"/>
    <mergeCell ref="AD42:AD44"/>
    <mergeCell ref="AA18:AA23"/>
    <mergeCell ref="AB18:AB23"/>
    <mergeCell ref="AC18:AC23"/>
    <mergeCell ref="AD18:AD23"/>
    <mergeCell ref="V130:V132"/>
    <mergeCell ref="W130:W132"/>
    <mergeCell ref="X130:X132"/>
    <mergeCell ref="Y130:Y132"/>
    <mergeCell ref="Z130:Z132"/>
    <mergeCell ref="AA130:AA132"/>
    <mergeCell ref="AB130:AB132"/>
    <mergeCell ref="AC130:AC132"/>
    <mergeCell ref="AD130:AD132"/>
    <mergeCell ref="V18:V23"/>
    <mergeCell ref="W18:W23"/>
    <mergeCell ref="X18:X23"/>
    <mergeCell ref="Y18:Y23"/>
    <mergeCell ref="Z18:Z23"/>
    <mergeCell ref="X42:X44"/>
    <mergeCell ref="V42:V44"/>
    <mergeCell ref="W42:W44"/>
  </mergeCells>
  <pageMargins left="0.7" right="0.7" top="0.75" bottom="0.75" header="0.3" footer="0.3"/>
  <pageSetup scale="33" fitToHeight="0" orientation="landscape" r:id="rId1"/>
  <ignoredErrors>
    <ignoredError sqref="Q215:R218 Q114:R114 R176:R177 Q147:Q151 R135 R25:R27 Q97:Q101 Q134 R138 Q144 R171:R174 Q233:R233 Q228 R230 Q231 Q235 Q252:R252 Q243:Q251 Q270:R271 Q256:Q259 Q275 Q279:R279 Q285:R286 Q288:R290 Q287 Q296 R140 Q340:Q346 Q330:Q332 R71 R74 R78 R80 Q108:R111 R154 Q203:R204 Q292:R293 Q318:Q319 Q190:R190 R76 Q301 R38 R50:R51 R41 R53:R54 R57 R59:R63 R65:R66 R82:R86 R94:R98 Q102:R106 Q117:R122 Q127:R127 Q126 Q129:R131 Q128 Q242:R242 Q136:Q140 Q152:R152 Q166:Q169 R166:R168 R143 Q172:Q177 R181 Q183:R186 Q179:Q182 Q189 Q192:R193 Q206:R208 Q210:R213 Q223:R224 Q254:R255 Q295:R295 Q298:R300 Q294 Q306:R306 Q308:R308 Q310:R310 Q313:R313 Q317:R317 Q315 Q305 Q307 Q309 Q238 Q154:Q163 Q196:R201 R236:R237 Q272:Q273 Q240:Q241 Q280:Q281 Q277:Q278 Q253 Q269 R234 Q205 R91 Q123:Q124 Q321:Q323 Q325:Q328 Q226:R227 Q225 Q316 R43 R68" emptyCellReference="1"/>
  </ignoredError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
    <pageSetUpPr fitToPage="1"/>
  </sheetPr>
  <dimension ref="B1:BU330"/>
  <sheetViews>
    <sheetView tabSelected="1" topLeftCell="B6" zoomScale="70" zoomScaleNormal="70" workbookViewId="0">
      <pane xSplit="11" ySplit="1" topLeftCell="M182" activePane="bottomRight" state="frozen"/>
      <selection activeCell="B6" sqref="B6"/>
      <selection pane="topRight" activeCell="M6" sqref="M6"/>
      <selection pane="bottomLeft" activeCell="B7" sqref="B7"/>
      <selection pane="bottomRight" activeCell="Q201" sqref="Q201"/>
    </sheetView>
  </sheetViews>
  <sheetFormatPr baseColWidth="10" defaultColWidth="11.5703125" defaultRowHeight="15" x14ac:dyDescent="0.2"/>
  <cols>
    <col min="1" max="1" width="3.85546875" style="1" customWidth="1"/>
    <col min="2" max="2" width="8.28515625" style="385" customWidth="1"/>
    <col min="3" max="3" width="12.5703125" style="385" customWidth="1"/>
    <col min="4" max="4" width="13.140625" style="385" customWidth="1"/>
    <col min="5" max="5" width="9.7109375" style="385" customWidth="1"/>
    <col min="6" max="6" width="10" style="385" customWidth="1"/>
    <col min="7" max="7" width="9.7109375" style="385" customWidth="1"/>
    <col min="8" max="8" width="8.5703125" style="385" customWidth="1"/>
    <col min="9" max="9" width="10.28515625" style="385" customWidth="1"/>
    <col min="10" max="10" width="9.7109375" style="385" customWidth="1"/>
    <col min="11" max="11" width="24" style="385" bestFit="1" customWidth="1"/>
    <col min="12" max="12" width="75.28515625" style="2" customWidth="1"/>
    <col min="13" max="13" width="15.7109375" style="2" customWidth="1"/>
    <col min="14" max="14" width="16.42578125" style="128" customWidth="1"/>
    <col min="15" max="15" width="14" style="151" customWidth="1"/>
    <col min="16" max="16" width="19.42578125" style="507" customWidth="1"/>
    <col min="17" max="17" width="30.28515625" style="1" customWidth="1"/>
    <col min="18" max="18" width="23.85546875" style="385" bestFit="1" customWidth="1"/>
    <col min="19" max="19" width="24.28515625" style="1" customWidth="1"/>
    <col min="20" max="20" width="35.140625" style="107" customWidth="1"/>
    <col min="21" max="21" width="24.7109375" style="558" customWidth="1"/>
    <col min="22" max="22" width="24.7109375" style="563" customWidth="1"/>
    <col min="23" max="28" width="24.7109375" style="1" customWidth="1"/>
    <col min="29" max="29" width="11.5703125" style="1"/>
    <col min="30" max="30" width="20" style="1" bestFit="1" customWidth="1"/>
    <col min="31" max="16384" width="11.5703125" style="1"/>
  </cols>
  <sheetData>
    <row r="1" spans="2:67" ht="15.6" customHeight="1" x14ac:dyDescent="0.2">
      <c r="B1" s="1"/>
      <c r="C1" s="1"/>
      <c r="D1" s="1"/>
      <c r="E1" s="1"/>
      <c r="F1" s="1"/>
      <c r="G1" s="1"/>
      <c r="H1" s="1"/>
      <c r="I1" s="1"/>
      <c r="J1" s="1"/>
      <c r="K1" s="1"/>
      <c r="L1" s="1"/>
      <c r="M1" s="431"/>
    </row>
    <row r="2" spans="2:67" ht="15.75" x14ac:dyDescent="0.25">
      <c r="B2" s="18" t="s">
        <v>460</v>
      </c>
      <c r="C2" s="1"/>
      <c r="D2" s="1"/>
      <c r="E2" s="1"/>
      <c r="F2" s="1"/>
      <c r="G2" s="1"/>
      <c r="H2" s="1"/>
      <c r="I2" s="1"/>
      <c r="J2" s="1"/>
      <c r="K2" s="1"/>
      <c r="L2" s="1"/>
      <c r="M2" s="431"/>
    </row>
    <row r="3" spans="2:67" ht="15.6" customHeight="1" x14ac:dyDescent="0.25">
      <c r="B3" s="18"/>
      <c r="C3" s="1"/>
      <c r="D3" s="1"/>
      <c r="E3" s="1"/>
      <c r="F3" s="1"/>
      <c r="G3" s="1"/>
      <c r="H3" s="1"/>
      <c r="I3" s="1"/>
      <c r="J3" s="1"/>
      <c r="K3" s="1"/>
      <c r="L3" s="1"/>
      <c r="M3" s="431"/>
    </row>
    <row r="4" spans="2:67" ht="15.75" x14ac:dyDescent="0.25">
      <c r="B4" s="18" t="s">
        <v>168</v>
      </c>
      <c r="C4" s="1"/>
      <c r="D4" s="1"/>
      <c r="E4" s="1"/>
      <c r="F4" s="1"/>
      <c r="G4" s="1"/>
      <c r="H4" s="1"/>
      <c r="I4" s="1"/>
      <c r="J4" s="1"/>
      <c r="K4" s="1"/>
      <c r="L4" s="1"/>
      <c r="M4" s="431"/>
    </row>
    <row r="5" spans="2:67" ht="15.75" thickBot="1" x14ac:dyDescent="0.25">
      <c r="B5" s="1"/>
      <c r="C5" s="1"/>
      <c r="D5" s="1"/>
      <c r="E5" s="1"/>
      <c r="F5" s="1"/>
      <c r="G5" s="1"/>
      <c r="H5" s="1"/>
      <c r="I5" s="1"/>
      <c r="J5" s="1"/>
      <c r="K5" s="1"/>
      <c r="L5" s="1"/>
      <c r="M5" s="431"/>
    </row>
    <row r="6" spans="2:67" ht="112.5" customHeight="1" thickBot="1" x14ac:dyDescent="0.25">
      <c r="B6" s="96" t="s">
        <v>134</v>
      </c>
      <c r="C6" s="97" t="s">
        <v>0</v>
      </c>
      <c r="D6" s="97" t="s">
        <v>1</v>
      </c>
      <c r="E6" s="97" t="s">
        <v>2</v>
      </c>
      <c r="F6" s="97" t="s">
        <v>3</v>
      </c>
      <c r="G6" s="97" t="s">
        <v>4</v>
      </c>
      <c r="H6" s="97" t="s">
        <v>5</v>
      </c>
      <c r="I6" s="97" t="s">
        <v>6</v>
      </c>
      <c r="J6" s="98" t="s">
        <v>135</v>
      </c>
      <c r="K6" s="213" t="s">
        <v>163</v>
      </c>
      <c r="L6" s="214" t="s">
        <v>164</v>
      </c>
      <c r="M6" s="214" t="s">
        <v>462</v>
      </c>
      <c r="N6" s="215" t="s">
        <v>461</v>
      </c>
      <c r="O6" s="214" t="s">
        <v>161</v>
      </c>
      <c r="P6" s="214" t="s">
        <v>162</v>
      </c>
      <c r="Q6" s="214" t="s">
        <v>464</v>
      </c>
      <c r="R6" s="214" t="s">
        <v>463</v>
      </c>
      <c r="S6" s="214" t="s">
        <v>465</v>
      </c>
      <c r="T6" s="217" t="s">
        <v>166</v>
      </c>
      <c r="U6" s="559" t="s">
        <v>416</v>
      </c>
      <c r="V6" s="564" t="s">
        <v>417</v>
      </c>
      <c r="W6" s="429" t="s">
        <v>418</v>
      </c>
      <c r="X6" s="429" t="s">
        <v>419</v>
      </c>
      <c r="Y6" s="429" t="s">
        <v>420</v>
      </c>
      <c r="Z6" s="429" t="s">
        <v>421</v>
      </c>
      <c r="AA6" s="429" t="s">
        <v>422</v>
      </c>
      <c r="AB6" s="429" t="s">
        <v>424</v>
      </c>
    </row>
    <row r="7" spans="2:67" ht="15.75" customHeight="1" x14ac:dyDescent="0.2">
      <c r="B7" s="19" t="s">
        <v>7</v>
      </c>
      <c r="C7" s="20" t="s">
        <v>20</v>
      </c>
      <c r="D7" s="20"/>
      <c r="E7" s="20"/>
      <c r="F7" s="20"/>
      <c r="G7" s="20"/>
      <c r="H7" s="20"/>
      <c r="I7" s="20"/>
      <c r="J7" s="192"/>
      <c r="K7" s="219"/>
      <c r="L7" s="406" t="s">
        <v>412</v>
      </c>
      <c r="M7" s="221"/>
      <c r="N7" s="221"/>
      <c r="O7" s="222"/>
      <c r="P7" s="222"/>
      <c r="Q7" s="191">
        <f>+Q8+Q28</f>
        <v>5173000000</v>
      </c>
      <c r="R7" s="227"/>
      <c r="S7" s="224"/>
      <c r="T7" s="524"/>
      <c r="U7" s="560"/>
      <c r="V7" s="565"/>
      <c r="W7" s="475"/>
      <c r="X7" s="475"/>
      <c r="Y7" s="475"/>
      <c r="Z7" s="475"/>
      <c r="AA7" s="475"/>
      <c r="AB7" s="475"/>
    </row>
    <row r="8" spans="2:67" s="18" customFormat="1" ht="15.75" customHeight="1" x14ac:dyDescent="0.25">
      <c r="B8" s="26" t="s">
        <v>7</v>
      </c>
      <c r="C8" s="27" t="s">
        <v>20</v>
      </c>
      <c r="D8" s="27" t="s">
        <v>8</v>
      </c>
      <c r="E8" s="27"/>
      <c r="F8" s="27"/>
      <c r="G8" s="27"/>
      <c r="H8" s="27"/>
      <c r="I8" s="27"/>
      <c r="J8" s="193"/>
      <c r="K8" s="26"/>
      <c r="L8" s="407" t="s">
        <v>25</v>
      </c>
      <c r="M8" s="129"/>
      <c r="N8" s="129"/>
      <c r="O8" s="152"/>
      <c r="P8" s="152"/>
      <c r="Q8" s="29">
        <f>+Q9</f>
        <v>326000000</v>
      </c>
      <c r="R8" s="242"/>
      <c r="S8" s="243"/>
      <c r="T8" s="525"/>
      <c r="U8" s="560"/>
      <c r="V8" s="565"/>
      <c r="W8" s="475"/>
      <c r="X8" s="475"/>
      <c r="Y8" s="475"/>
      <c r="Z8" s="475"/>
      <c r="AA8" s="475"/>
      <c r="AB8" s="475"/>
    </row>
    <row r="9" spans="2:67" ht="15" customHeight="1" x14ac:dyDescent="0.2">
      <c r="B9" s="41" t="s">
        <v>7</v>
      </c>
      <c r="C9" s="42" t="s">
        <v>20</v>
      </c>
      <c r="D9" s="42" t="s">
        <v>8</v>
      </c>
      <c r="E9" s="42" t="s">
        <v>8</v>
      </c>
      <c r="F9" s="42"/>
      <c r="G9" s="42"/>
      <c r="H9" s="42"/>
      <c r="I9" s="42"/>
      <c r="J9" s="194"/>
      <c r="K9" s="41"/>
      <c r="L9" s="408" t="s">
        <v>26</v>
      </c>
      <c r="M9" s="130"/>
      <c r="N9" s="130"/>
      <c r="O9" s="153"/>
      <c r="P9" s="153"/>
      <c r="Q9" s="44">
        <f>+Q10+Q22</f>
        <v>326000000</v>
      </c>
      <c r="R9" s="180"/>
      <c r="S9" s="45"/>
      <c r="T9" s="526"/>
      <c r="U9" s="556"/>
      <c r="V9" s="557"/>
      <c r="W9" s="477"/>
      <c r="X9" s="477"/>
      <c r="Y9" s="477"/>
      <c r="Z9" s="477"/>
      <c r="AA9" s="477"/>
      <c r="AB9" s="477"/>
    </row>
    <row r="10" spans="2:67" ht="15" customHeight="1" x14ac:dyDescent="0.2">
      <c r="B10" s="13" t="s">
        <v>7</v>
      </c>
      <c r="C10" s="14" t="s">
        <v>20</v>
      </c>
      <c r="D10" s="14" t="s">
        <v>8</v>
      </c>
      <c r="E10" s="14" t="s">
        <v>8</v>
      </c>
      <c r="F10" s="14" t="s">
        <v>12</v>
      </c>
      <c r="G10" s="14"/>
      <c r="H10" s="14"/>
      <c r="I10" s="14"/>
      <c r="J10" s="195"/>
      <c r="K10" s="13"/>
      <c r="L10" s="409" t="s">
        <v>36</v>
      </c>
      <c r="M10" s="131"/>
      <c r="N10" s="131"/>
      <c r="O10" s="154"/>
      <c r="P10" s="154"/>
      <c r="Q10" s="16">
        <f>+Q11+Q16+Q19</f>
        <v>186000000</v>
      </c>
      <c r="R10" s="14"/>
      <c r="S10" s="17"/>
      <c r="T10" s="527"/>
      <c r="U10" s="556"/>
      <c r="V10" s="557"/>
      <c r="W10" s="477"/>
      <c r="X10" s="477"/>
      <c r="Y10" s="477"/>
      <c r="Z10" s="477"/>
      <c r="AA10" s="477"/>
      <c r="AB10" s="477"/>
    </row>
    <row r="11" spans="2:67" ht="15" customHeight="1" x14ac:dyDescent="0.2">
      <c r="B11" s="91" t="s">
        <v>7</v>
      </c>
      <c r="C11" s="92" t="s">
        <v>20</v>
      </c>
      <c r="D11" s="92" t="s">
        <v>8</v>
      </c>
      <c r="E11" s="92" t="s">
        <v>8</v>
      </c>
      <c r="F11" s="92" t="s">
        <v>12</v>
      </c>
      <c r="G11" s="92" t="s">
        <v>12</v>
      </c>
      <c r="H11" s="92"/>
      <c r="I11" s="92"/>
      <c r="J11" s="196"/>
      <c r="K11" s="91"/>
      <c r="L11" s="410" t="s">
        <v>39</v>
      </c>
      <c r="M11" s="132"/>
      <c r="N11" s="132"/>
      <c r="O11" s="155"/>
      <c r="P11" s="155"/>
      <c r="Q11" s="94">
        <f>+Q12</f>
        <v>119000000</v>
      </c>
      <c r="R11" s="92"/>
      <c r="S11" s="95"/>
      <c r="T11" s="528"/>
      <c r="U11" s="556"/>
      <c r="V11" s="557"/>
      <c r="W11" s="477"/>
      <c r="X11" s="477"/>
      <c r="Y11" s="477"/>
      <c r="Z11" s="477"/>
      <c r="AA11" s="477"/>
      <c r="AB11" s="477"/>
    </row>
    <row r="12" spans="2:67" ht="15" customHeight="1" x14ac:dyDescent="0.2">
      <c r="B12" s="397" t="s">
        <v>7</v>
      </c>
      <c r="C12" s="395" t="s">
        <v>20</v>
      </c>
      <c r="D12" s="395" t="s">
        <v>8</v>
      </c>
      <c r="E12" s="395" t="s">
        <v>8</v>
      </c>
      <c r="F12" s="395" t="s">
        <v>12</v>
      </c>
      <c r="G12" s="395" t="s">
        <v>12</v>
      </c>
      <c r="H12" s="233" t="s">
        <v>20</v>
      </c>
      <c r="I12" s="395"/>
      <c r="J12" s="404"/>
      <c r="K12" s="397"/>
      <c r="L12" s="403" t="s">
        <v>40</v>
      </c>
      <c r="M12" s="133"/>
      <c r="N12" s="133"/>
      <c r="O12" s="156"/>
      <c r="P12" s="156"/>
      <c r="Q12" s="5">
        <f>SUM(Q13:Q15)</f>
        <v>119000000</v>
      </c>
      <c r="R12" s="395"/>
      <c r="S12" s="288"/>
      <c r="T12" s="529"/>
      <c r="U12" s="556"/>
      <c r="V12" s="557"/>
      <c r="W12" s="477"/>
      <c r="X12" s="477"/>
      <c r="Y12" s="477"/>
      <c r="Z12" s="477"/>
      <c r="AA12" s="477"/>
      <c r="AB12" s="477"/>
    </row>
    <row r="13" spans="2:67" ht="75" x14ac:dyDescent="0.2">
      <c r="B13" s="623"/>
      <c r="C13" s="624"/>
      <c r="D13" s="624"/>
      <c r="E13" s="624"/>
      <c r="F13" s="624"/>
      <c r="G13" s="624"/>
      <c r="H13" s="624"/>
      <c r="I13" s="624"/>
      <c r="J13" s="646"/>
      <c r="K13" s="440" t="s">
        <v>497</v>
      </c>
      <c r="L13" s="441" t="s">
        <v>498</v>
      </c>
      <c r="M13" s="134">
        <v>44696</v>
      </c>
      <c r="N13" s="134" t="s">
        <v>659</v>
      </c>
      <c r="O13" s="157" t="s">
        <v>499</v>
      </c>
      <c r="P13" s="157" t="s">
        <v>641</v>
      </c>
      <c r="Q13" s="493">
        <v>41000000</v>
      </c>
      <c r="R13" s="443"/>
      <c r="S13" s="439"/>
      <c r="T13" s="521" t="s">
        <v>221</v>
      </c>
      <c r="U13" s="556"/>
      <c r="V13" s="557"/>
      <c r="W13" s="477"/>
      <c r="X13" s="477"/>
      <c r="Y13" s="477"/>
      <c r="Z13" s="477">
        <f>+Q13-X13</f>
        <v>41000000</v>
      </c>
      <c r="AA13" s="477">
        <f>+X13-Y13</f>
        <v>0</v>
      </c>
      <c r="AB13" s="477">
        <f>+Q13+AA13-Y13</f>
        <v>41000000</v>
      </c>
    </row>
    <row r="14" spans="2:67" s="431" customFormat="1" ht="60" x14ac:dyDescent="0.2">
      <c r="B14" s="487"/>
      <c r="C14" s="488"/>
      <c r="D14" s="488"/>
      <c r="E14" s="488"/>
      <c r="F14" s="488"/>
      <c r="G14" s="488"/>
      <c r="H14" s="488"/>
      <c r="I14" s="488"/>
      <c r="J14" s="488"/>
      <c r="K14" s="438">
        <v>43211500</v>
      </c>
      <c r="L14" s="494" t="s">
        <v>563</v>
      </c>
      <c r="M14" s="134">
        <v>44635</v>
      </c>
      <c r="N14" s="134" t="s">
        <v>503</v>
      </c>
      <c r="O14" s="157" t="s">
        <v>564</v>
      </c>
      <c r="P14" s="157" t="s">
        <v>641</v>
      </c>
      <c r="Q14" s="493">
        <v>38000000</v>
      </c>
      <c r="R14" s="443" t="s">
        <v>350</v>
      </c>
      <c r="S14" s="439"/>
      <c r="T14" s="521" t="s">
        <v>181</v>
      </c>
      <c r="U14" s="556">
        <v>21322</v>
      </c>
      <c r="V14" s="557">
        <v>44614</v>
      </c>
      <c r="W14" s="477">
        <v>38000000</v>
      </c>
      <c r="X14" s="477">
        <v>38000000</v>
      </c>
      <c r="Y14" s="477"/>
      <c r="Z14" s="477">
        <f t="shared" ref="Z14:Z15" si="0">+Q14-X14</f>
        <v>0</v>
      </c>
      <c r="AA14" s="477">
        <f t="shared" ref="AA14:AA15" si="1">+X14-Y14</f>
        <v>38000000</v>
      </c>
      <c r="AB14" s="477">
        <f t="shared" ref="AB14:AB15" si="2">+Q14+AA14-Y14</f>
        <v>76000000</v>
      </c>
    </row>
    <row r="15" spans="2:67" s="431" customFormat="1" ht="59.25" customHeight="1" x14ac:dyDescent="0.2">
      <c r="B15" s="487"/>
      <c r="C15" s="488"/>
      <c r="D15" s="488"/>
      <c r="E15" s="488"/>
      <c r="F15" s="488"/>
      <c r="G15" s="488"/>
      <c r="H15" s="488"/>
      <c r="I15" s="488"/>
      <c r="J15" s="488"/>
      <c r="K15" s="438">
        <v>43211500</v>
      </c>
      <c r="L15" s="495" t="s">
        <v>565</v>
      </c>
      <c r="M15" s="134">
        <v>44635</v>
      </c>
      <c r="N15" s="134" t="s">
        <v>503</v>
      </c>
      <c r="O15" s="157" t="s">
        <v>564</v>
      </c>
      <c r="P15" s="157" t="s">
        <v>641</v>
      </c>
      <c r="Q15" s="493">
        <v>40000000</v>
      </c>
      <c r="R15" s="443" t="s">
        <v>350</v>
      </c>
      <c r="S15" s="439"/>
      <c r="T15" s="521" t="s">
        <v>181</v>
      </c>
      <c r="U15" s="556">
        <v>27122</v>
      </c>
      <c r="V15" s="557">
        <v>44629</v>
      </c>
      <c r="W15" s="477">
        <v>40000000</v>
      </c>
      <c r="X15" s="477">
        <v>40000000</v>
      </c>
      <c r="Y15" s="477"/>
      <c r="Z15" s="477">
        <f t="shared" si="0"/>
        <v>0</v>
      </c>
      <c r="AA15" s="477">
        <f t="shared" si="1"/>
        <v>40000000</v>
      </c>
      <c r="AB15" s="477">
        <f t="shared" si="2"/>
        <v>80000000</v>
      </c>
    </row>
    <row r="16" spans="2:67" s="431" customFormat="1" ht="32.25" customHeight="1" x14ac:dyDescent="0.2">
      <c r="B16" s="91" t="s">
        <v>7</v>
      </c>
      <c r="C16" s="92" t="s">
        <v>20</v>
      </c>
      <c r="D16" s="92" t="s">
        <v>8</v>
      </c>
      <c r="E16" s="92" t="s">
        <v>8</v>
      </c>
      <c r="F16" s="92" t="s">
        <v>12</v>
      </c>
      <c r="G16" s="92" t="s">
        <v>13</v>
      </c>
      <c r="H16" s="92"/>
      <c r="I16" s="92"/>
      <c r="J16" s="196"/>
      <c r="K16" s="91"/>
      <c r="L16" s="410" t="s">
        <v>42</v>
      </c>
      <c r="M16" s="132"/>
      <c r="N16" s="132"/>
      <c r="O16" s="155"/>
      <c r="P16" s="155"/>
      <c r="Q16" s="94">
        <f>SUM(Q17:Q17)</f>
        <v>60000000</v>
      </c>
      <c r="R16" s="92"/>
      <c r="S16" s="95"/>
      <c r="T16" s="528"/>
      <c r="U16" s="556"/>
      <c r="V16" s="557"/>
      <c r="W16" s="477"/>
      <c r="X16" s="477"/>
      <c r="Y16" s="477"/>
      <c r="Z16" s="477"/>
      <c r="AA16" s="477"/>
      <c r="AB16" s="477"/>
      <c r="AX16" s="285"/>
      <c r="AY16" s="285"/>
      <c r="AZ16" s="285"/>
      <c r="BA16" s="285"/>
      <c r="BB16" s="285"/>
      <c r="BC16" s="285"/>
      <c r="BD16" s="285"/>
      <c r="BE16" s="285"/>
      <c r="BF16" s="285"/>
      <c r="BG16" s="285"/>
      <c r="BH16" s="285"/>
      <c r="BI16" s="285"/>
      <c r="BJ16" s="285"/>
      <c r="BK16" s="285"/>
      <c r="BL16" s="285"/>
      <c r="BM16" s="285"/>
      <c r="BN16" s="285"/>
      <c r="BO16" s="285"/>
    </row>
    <row r="17" spans="2:67" s="431" customFormat="1" ht="33" customHeight="1" x14ac:dyDescent="0.2">
      <c r="B17" s="434" t="s">
        <v>7</v>
      </c>
      <c r="C17" s="432" t="s">
        <v>20</v>
      </c>
      <c r="D17" s="432" t="s">
        <v>8</v>
      </c>
      <c r="E17" s="432" t="s">
        <v>8</v>
      </c>
      <c r="F17" s="432" t="s">
        <v>12</v>
      </c>
      <c r="G17" s="432" t="s">
        <v>13</v>
      </c>
      <c r="H17" s="432" t="s">
        <v>20</v>
      </c>
      <c r="I17" s="432"/>
      <c r="J17" s="444"/>
      <c r="K17" s="434"/>
      <c r="L17" s="403" t="s">
        <v>290</v>
      </c>
      <c r="M17" s="133"/>
      <c r="N17" s="133"/>
      <c r="O17" s="156"/>
      <c r="P17" s="156"/>
      <c r="Q17" s="5">
        <f>SUM(Q18:Q18)</f>
        <v>60000000</v>
      </c>
      <c r="R17" s="402"/>
      <c r="S17" s="433"/>
      <c r="T17" s="530"/>
      <c r="U17" s="556"/>
      <c r="V17" s="557"/>
      <c r="W17" s="477"/>
      <c r="X17" s="477"/>
      <c r="Y17" s="477"/>
      <c r="Z17" s="477"/>
      <c r="AA17" s="477"/>
      <c r="AB17" s="477"/>
      <c r="AX17" s="285"/>
      <c r="AY17" s="285"/>
      <c r="AZ17" s="285"/>
      <c r="BA17" s="285"/>
      <c r="BB17" s="285"/>
      <c r="BC17" s="285"/>
      <c r="BD17" s="285"/>
      <c r="BE17" s="285"/>
      <c r="BF17" s="285"/>
      <c r="BG17" s="285"/>
      <c r="BH17" s="285"/>
      <c r="BI17" s="285"/>
      <c r="BJ17" s="285"/>
      <c r="BK17" s="285"/>
      <c r="BL17" s="285"/>
      <c r="BM17" s="285"/>
      <c r="BN17" s="285"/>
      <c r="BO17" s="285"/>
    </row>
    <row r="18" spans="2:67" s="431" customFormat="1" ht="45" x14ac:dyDescent="0.2">
      <c r="B18" s="623"/>
      <c r="C18" s="624"/>
      <c r="D18" s="624"/>
      <c r="E18" s="624"/>
      <c r="F18" s="624"/>
      <c r="G18" s="624"/>
      <c r="H18" s="624"/>
      <c r="I18" s="624"/>
      <c r="J18" s="646"/>
      <c r="K18" s="438">
        <v>43211500</v>
      </c>
      <c r="L18" s="441" t="s">
        <v>639</v>
      </c>
      <c r="M18" s="134">
        <v>44635</v>
      </c>
      <c r="N18" s="134" t="s">
        <v>640</v>
      </c>
      <c r="O18" s="157" t="s">
        <v>294</v>
      </c>
      <c r="P18" s="157" t="s">
        <v>642</v>
      </c>
      <c r="Q18" s="101">
        <v>60000000</v>
      </c>
      <c r="R18" s="443" t="s">
        <v>386</v>
      </c>
      <c r="S18" s="439"/>
      <c r="T18" s="521" t="s">
        <v>181</v>
      </c>
      <c r="U18" s="556">
        <v>27422</v>
      </c>
      <c r="V18" s="557">
        <v>44629</v>
      </c>
      <c r="W18" s="477">
        <v>60000000</v>
      </c>
      <c r="X18" s="477">
        <v>60000000</v>
      </c>
      <c r="Y18" s="477"/>
      <c r="Z18" s="477">
        <f t="shared" ref="Z18" si="3">+Q18-X18</f>
        <v>0</v>
      </c>
      <c r="AA18" s="477">
        <f t="shared" ref="AA18" si="4">+X18-Y18</f>
        <v>60000000</v>
      </c>
      <c r="AB18" s="477">
        <f t="shared" ref="AB18" si="5">+Q18+AA18-Y18</f>
        <v>120000000</v>
      </c>
      <c r="AX18" s="285"/>
      <c r="AY18" s="285"/>
      <c r="AZ18" s="285"/>
      <c r="BA18" s="285"/>
      <c r="BB18" s="285"/>
      <c r="BC18" s="285"/>
      <c r="BD18" s="285"/>
      <c r="BE18" s="285"/>
      <c r="BF18" s="285"/>
      <c r="BG18" s="285"/>
      <c r="BH18" s="285"/>
      <c r="BI18" s="285"/>
      <c r="BJ18" s="285"/>
      <c r="BK18" s="285"/>
      <c r="BL18" s="285"/>
      <c r="BM18" s="285"/>
      <c r="BN18" s="285"/>
      <c r="BO18" s="285"/>
    </row>
    <row r="19" spans="2:67" s="431" customFormat="1" ht="30" x14ac:dyDescent="0.2">
      <c r="B19" s="91" t="s">
        <v>7</v>
      </c>
      <c r="C19" s="92">
        <v>2</v>
      </c>
      <c r="D19" s="511" t="s">
        <v>8</v>
      </c>
      <c r="E19" s="511" t="s">
        <v>8</v>
      </c>
      <c r="F19" s="511" t="s">
        <v>12</v>
      </c>
      <c r="G19" s="511" t="s">
        <v>16</v>
      </c>
      <c r="H19" s="92"/>
      <c r="I19" s="92"/>
      <c r="J19" s="196"/>
      <c r="K19" s="91"/>
      <c r="L19" s="410" t="s">
        <v>143</v>
      </c>
      <c r="M19" s="132"/>
      <c r="N19" s="132"/>
      <c r="O19" s="155"/>
      <c r="P19" s="155"/>
      <c r="Q19" s="94">
        <f>+Q20</f>
        <v>7000000</v>
      </c>
      <c r="R19" s="92"/>
      <c r="S19" s="95"/>
      <c r="T19" s="528"/>
      <c r="U19" s="556"/>
      <c r="V19" s="557"/>
      <c r="W19" s="477"/>
      <c r="X19" s="477"/>
      <c r="Y19" s="477"/>
      <c r="Z19" s="477"/>
      <c r="AA19" s="477"/>
      <c r="AB19" s="477"/>
      <c r="AX19" s="285"/>
      <c r="AY19" s="285"/>
      <c r="AZ19" s="285"/>
      <c r="BA19" s="285"/>
      <c r="BB19" s="285"/>
      <c r="BC19" s="285"/>
      <c r="BD19" s="285"/>
      <c r="BE19" s="285"/>
      <c r="BF19" s="285"/>
      <c r="BG19" s="285"/>
      <c r="BH19" s="285"/>
      <c r="BI19" s="285"/>
      <c r="BJ19" s="285"/>
      <c r="BK19" s="285"/>
      <c r="BL19" s="285"/>
      <c r="BM19" s="285"/>
      <c r="BN19" s="285"/>
      <c r="BO19" s="285"/>
    </row>
    <row r="20" spans="2:67" s="285" customFormat="1" ht="60" x14ac:dyDescent="0.2">
      <c r="B20" s="434" t="s">
        <v>7</v>
      </c>
      <c r="C20" s="432" t="s">
        <v>20</v>
      </c>
      <c r="D20" s="432" t="s">
        <v>8</v>
      </c>
      <c r="E20" s="432" t="s">
        <v>8</v>
      </c>
      <c r="F20" s="432" t="s">
        <v>12</v>
      </c>
      <c r="G20" s="504" t="s">
        <v>16</v>
      </c>
      <c r="H20" s="432" t="s">
        <v>20</v>
      </c>
      <c r="I20" s="432"/>
      <c r="J20" s="444"/>
      <c r="K20" s="434"/>
      <c r="L20" s="403" t="s">
        <v>141</v>
      </c>
      <c r="M20" s="133"/>
      <c r="N20" s="133"/>
      <c r="O20" s="156"/>
      <c r="P20" s="156"/>
      <c r="Q20" s="5">
        <f>SUM(Q21:Q21)</f>
        <v>7000000</v>
      </c>
      <c r="R20" s="432"/>
      <c r="S20" s="288"/>
      <c r="T20" s="529"/>
      <c r="U20" s="561"/>
      <c r="V20" s="566"/>
      <c r="W20" s="490"/>
      <c r="X20" s="490"/>
      <c r="Y20" s="490"/>
      <c r="Z20" s="490"/>
      <c r="AA20" s="490"/>
      <c r="AB20" s="490"/>
      <c r="AC20" s="431"/>
      <c r="AD20" s="431"/>
      <c r="AE20" s="431"/>
      <c r="AF20" s="431"/>
      <c r="AG20" s="431"/>
      <c r="AH20" s="431"/>
      <c r="AI20" s="431"/>
      <c r="AJ20" s="431"/>
      <c r="AK20" s="431"/>
      <c r="AL20" s="431"/>
      <c r="AM20" s="431"/>
      <c r="AN20" s="431"/>
      <c r="AO20" s="431"/>
      <c r="AP20" s="431"/>
      <c r="AQ20" s="431"/>
      <c r="AR20" s="431"/>
      <c r="AS20" s="431"/>
      <c r="AT20" s="431"/>
      <c r="AU20" s="431"/>
      <c r="AV20" s="431"/>
      <c r="AW20" s="431"/>
    </row>
    <row r="21" spans="2:67" s="431" customFormat="1" ht="45" x14ac:dyDescent="0.2">
      <c r="B21" s="502"/>
      <c r="C21" s="503"/>
      <c r="D21" s="503"/>
      <c r="E21" s="503"/>
      <c r="F21" s="503"/>
      <c r="G21" s="503"/>
      <c r="H21" s="503"/>
      <c r="I21" s="503"/>
      <c r="J21" s="503"/>
      <c r="K21" s="440" t="s">
        <v>614</v>
      </c>
      <c r="L21" s="441" t="s">
        <v>615</v>
      </c>
      <c r="M21" s="134">
        <v>44669</v>
      </c>
      <c r="N21" s="134" t="s">
        <v>620</v>
      </c>
      <c r="O21" s="157" t="s">
        <v>331</v>
      </c>
      <c r="P21" s="157" t="s">
        <v>505</v>
      </c>
      <c r="Q21" s="101">
        <v>7000000</v>
      </c>
      <c r="R21" s="443"/>
      <c r="S21" s="439"/>
      <c r="T21" s="521" t="s">
        <v>474</v>
      </c>
      <c r="U21" s="556">
        <v>29522</v>
      </c>
      <c r="V21" s="557">
        <v>44638</v>
      </c>
      <c r="W21" s="477">
        <v>7000000</v>
      </c>
      <c r="X21" s="477">
        <v>7000000</v>
      </c>
      <c r="Y21" s="477">
        <v>2975000</v>
      </c>
      <c r="Z21" s="477">
        <f t="shared" ref="Z21" si="6">+Q21-X21</f>
        <v>0</v>
      </c>
      <c r="AA21" s="477">
        <f t="shared" ref="AA21" si="7">+X21-Y21</f>
        <v>4025000</v>
      </c>
      <c r="AB21" s="477">
        <f t="shared" ref="AB21" si="8">+Q21+AA21-Y21</f>
        <v>8050000</v>
      </c>
    </row>
    <row r="22" spans="2:67" ht="15" customHeight="1" x14ac:dyDescent="0.2">
      <c r="B22" s="13" t="s">
        <v>7</v>
      </c>
      <c r="C22" s="14" t="s">
        <v>20</v>
      </c>
      <c r="D22" s="14" t="s">
        <v>8</v>
      </c>
      <c r="E22" s="14" t="s">
        <v>8</v>
      </c>
      <c r="F22" s="14" t="s">
        <v>14</v>
      </c>
      <c r="G22" s="14"/>
      <c r="H22" s="14"/>
      <c r="I22" s="14"/>
      <c r="J22" s="195"/>
      <c r="K22" s="13"/>
      <c r="L22" s="409" t="s">
        <v>44</v>
      </c>
      <c r="M22" s="131"/>
      <c r="N22" s="131"/>
      <c r="O22" s="154"/>
      <c r="P22" s="154"/>
      <c r="Q22" s="16">
        <f>+Q23</f>
        <v>140000000</v>
      </c>
      <c r="R22" s="14"/>
      <c r="S22" s="17"/>
      <c r="T22" s="527"/>
      <c r="U22" s="556"/>
      <c r="V22" s="557"/>
      <c r="W22" s="477"/>
      <c r="X22" s="477"/>
      <c r="Y22" s="477"/>
      <c r="Z22" s="477"/>
      <c r="AA22" s="477"/>
      <c r="AB22" s="477"/>
      <c r="AC22" s="431"/>
      <c r="AD22" s="431"/>
      <c r="AE22" s="431"/>
      <c r="AF22" s="431"/>
      <c r="AG22" s="431"/>
      <c r="AH22" s="431"/>
      <c r="AI22" s="431"/>
      <c r="AJ22" s="431"/>
      <c r="AK22" s="431"/>
      <c r="AL22" s="431"/>
      <c r="AM22" s="431"/>
      <c r="AN22" s="431"/>
      <c r="AO22" s="431"/>
      <c r="AP22" s="431"/>
      <c r="AQ22" s="431"/>
      <c r="AR22" s="431"/>
      <c r="AS22" s="431"/>
      <c r="AT22" s="431"/>
      <c r="AU22" s="431"/>
      <c r="AV22" s="431"/>
      <c r="AW22" s="431"/>
    </row>
    <row r="23" spans="2:67" ht="15" customHeight="1" x14ac:dyDescent="0.2">
      <c r="B23" s="91" t="s">
        <v>7</v>
      </c>
      <c r="C23" s="92" t="s">
        <v>20</v>
      </c>
      <c r="D23" s="92" t="s">
        <v>8</v>
      </c>
      <c r="E23" s="92" t="s">
        <v>8</v>
      </c>
      <c r="F23" s="92" t="s">
        <v>14</v>
      </c>
      <c r="G23" s="92" t="s">
        <v>10</v>
      </c>
      <c r="H23" s="92"/>
      <c r="I23" s="92"/>
      <c r="J23" s="196"/>
      <c r="K23" s="91"/>
      <c r="L23" s="410" t="s">
        <v>45</v>
      </c>
      <c r="M23" s="132"/>
      <c r="N23" s="132"/>
      <c r="O23" s="155"/>
      <c r="P23" s="155"/>
      <c r="Q23" s="94">
        <f>+Q24</f>
        <v>140000000</v>
      </c>
      <c r="R23" s="92"/>
      <c r="S23" s="95"/>
      <c r="T23" s="528"/>
      <c r="U23" s="556"/>
      <c r="V23" s="557"/>
      <c r="W23" s="477"/>
      <c r="X23" s="477"/>
      <c r="Y23" s="477"/>
      <c r="Z23" s="477"/>
      <c r="AA23" s="477"/>
      <c r="AB23" s="477"/>
      <c r="AC23" s="431"/>
      <c r="AD23" s="431"/>
      <c r="AE23" s="431"/>
      <c r="AF23" s="431"/>
      <c r="AG23" s="431"/>
      <c r="AH23" s="431"/>
      <c r="AI23" s="431"/>
      <c r="AJ23" s="431"/>
      <c r="AK23" s="431"/>
      <c r="AL23" s="431"/>
      <c r="AM23" s="431"/>
      <c r="AN23" s="431"/>
      <c r="AO23" s="431"/>
      <c r="AP23" s="431"/>
      <c r="AQ23" s="431"/>
      <c r="AR23" s="431"/>
      <c r="AS23" s="431"/>
      <c r="AT23" s="431"/>
      <c r="AU23" s="431"/>
      <c r="AV23" s="431"/>
      <c r="AW23" s="431"/>
    </row>
    <row r="24" spans="2:67" ht="15" customHeight="1" x14ac:dyDescent="0.2">
      <c r="B24" s="397" t="s">
        <v>7</v>
      </c>
      <c r="C24" s="395" t="s">
        <v>20</v>
      </c>
      <c r="D24" s="395" t="s">
        <v>8</v>
      </c>
      <c r="E24" s="395" t="s">
        <v>8</v>
      </c>
      <c r="F24" s="395" t="s">
        <v>14</v>
      </c>
      <c r="G24" s="395" t="s">
        <v>10</v>
      </c>
      <c r="H24" s="395" t="s">
        <v>23</v>
      </c>
      <c r="I24" s="395"/>
      <c r="J24" s="404"/>
      <c r="K24" s="397"/>
      <c r="L24" s="403" t="s">
        <v>46</v>
      </c>
      <c r="M24" s="133"/>
      <c r="N24" s="133"/>
      <c r="O24" s="156"/>
      <c r="P24" s="156"/>
      <c r="Q24" s="5">
        <f t="shared" ref="Q24:Q25" si="9">+Q25</f>
        <v>140000000</v>
      </c>
      <c r="R24" s="181"/>
      <c r="S24" s="452"/>
      <c r="T24" s="530"/>
      <c r="U24" s="556"/>
      <c r="V24" s="557"/>
      <c r="W24" s="477"/>
      <c r="X24" s="477"/>
      <c r="Y24" s="477"/>
      <c r="Z24" s="477"/>
      <c r="AA24" s="477"/>
      <c r="AB24" s="477"/>
      <c r="AC24" s="431"/>
      <c r="AD24" s="431"/>
      <c r="AE24" s="431"/>
      <c r="AF24" s="431"/>
      <c r="AG24" s="431"/>
      <c r="AH24" s="431"/>
      <c r="AI24" s="431"/>
      <c r="AJ24" s="431"/>
      <c r="AK24" s="431"/>
      <c r="AL24" s="431"/>
      <c r="AM24" s="431"/>
      <c r="AN24" s="431"/>
      <c r="AO24" s="431"/>
      <c r="AP24" s="431"/>
      <c r="AQ24" s="431"/>
      <c r="AR24" s="431"/>
      <c r="AS24" s="431"/>
      <c r="AT24" s="431"/>
      <c r="AU24" s="431"/>
      <c r="AV24" s="431"/>
      <c r="AW24" s="431"/>
    </row>
    <row r="25" spans="2:67" ht="15" customHeight="1" x14ac:dyDescent="0.2">
      <c r="B25" s="397" t="s">
        <v>7</v>
      </c>
      <c r="C25" s="395" t="s">
        <v>20</v>
      </c>
      <c r="D25" s="395" t="s">
        <v>8</v>
      </c>
      <c r="E25" s="395" t="s">
        <v>8</v>
      </c>
      <c r="F25" s="395" t="s">
        <v>14</v>
      </c>
      <c r="G25" s="395" t="s">
        <v>10</v>
      </c>
      <c r="H25" s="395" t="s">
        <v>23</v>
      </c>
      <c r="I25" s="395" t="s">
        <v>21</v>
      </c>
      <c r="J25" s="404"/>
      <c r="K25" s="397"/>
      <c r="L25" s="403" t="s">
        <v>47</v>
      </c>
      <c r="M25" s="133"/>
      <c r="N25" s="133"/>
      <c r="O25" s="156"/>
      <c r="P25" s="156"/>
      <c r="Q25" s="5">
        <f t="shared" si="9"/>
        <v>140000000</v>
      </c>
      <c r="R25" s="181"/>
      <c r="S25" s="396"/>
      <c r="T25" s="530"/>
      <c r="U25" s="556"/>
      <c r="V25" s="557"/>
      <c r="W25" s="477"/>
      <c r="X25" s="477"/>
      <c r="Y25" s="477"/>
      <c r="Z25" s="477"/>
      <c r="AA25" s="477"/>
      <c r="AB25" s="477"/>
      <c r="AC25" s="431"/>
      <c r="AD25" s="431"/>
      <c r="AE25" s="431"/>
      <c r="AF25" s="431"/>
      <c r="AG25" s="431"/>
      <c r="AH25" s="431"/>
      <c r="AI25" s="431"/>
      <c r="AJ25" s="431"/>
      <c r="AK25" s="431"/>
      <c r="AL25" s="431"/>
      <c r="AM25" s="431"/>
      <c r="AN25" s="431"/>
      <c r="AO25" s="431"/>
      <c r="AP25" s="431"/>
      <c r="AQ25" s="431"/>
      <c r="AR25" s="431"/>
      <c r="AS25" s="431"/>
      <c r="AT25" s="431"/>
      <c r="AU25" s="431"/>
      <c r="AV25" s="431"/>
      <c r="AW25" s="431"/>
    </row>
    <row r="26" spans="2:67" ht="15" customHeight="1" x14ac:dyDescent="0.2">
      <c r="B26" s="397" t="s">
        <v>7</v>
      </c>
      <c r="C26" s="395" t="s">
        <v>20</v>
      </c>
      <c r="D26" s="395" t="s">
        <v>8</v>
      </c>
      <c r="E26" s="395" t="s">
        <v>8</v>
      </c>
      <c r="F26" s="395" t="s">
        <v>14</v>
      </c>
      <c r="G26" s="395" t="s">
        <v>10</v>
      </c>
      <c r="H26" s="395" t="s">
        <v>23</v>
      </c>
      <c r="I26" s="395" t="s">
        <v>21</v>
      </c>
      <c r="J26" s="404" t="s">
        <v>8</v>
      </c>
      <c r="K26" s="397"/>
      <c r="L26" s="403" t="s">
        <v>48</v>
      </c>
      <c r="M26" s="133"/>
      <c r="N26" s="133"/>
      <c r="O26" s="156"/>
      <c r="P26" s="156"/>
      <c r="Q26" s="5">
        <f>SUM(Q27:Q27)</f>
        <v>140000000</v>
      </c>
      <c r="R26" s="181"/>
      <c r="S26" s="396"/>
      <c r="T26" s="530"/>
      <c r="U26" s="556"/>
      <c r="V26" s="557"/>
      <c r="W26" s="477"/>
      <c r="X26" s="477"/>
      <c r="Y26" s="477"/>
      <c r="Z26" s="477"/>
      <c r="AA26" s="477"/>
      <c r="AB26" s="477"/>
      <c r="AC26" s="431"/>
      <c r="AD26" s="431"/>
      <c r="AE26" s="431"/>
      <c r="AF26" s="431"/>
      <c r="AG26" s="431"/>
      <c r="AH26" s="431"/>
      <c r="AI26" s="431"/>
      <c r="AJ26" s="431"/>
      <c r="AK26" s="431"/>
      <c r="AL26" s="431"/>
      <c r="AM26" s="431"/>
      <c r="AN26" s="431"/>
      <c r="AO26" s="431"/>
      <c r="AP26" s="431"/>
      <c r="AQ26" s="431"/>
      <c r="AR26" s="431"/>
      <c r="AS26" s="431"/>
      <c r="AT26" s="431"/>
      <c r="AU26" s="431"/>
      <c r="AV26" s="431"/>
      <c r="AW26" s="431"/>
    </row>
    <row r="27" spans="2:67" ht="60" x14ac:dyDescent="0.2">
      <c r="B27" s="623"/>
      <c r="C27" s="624"/>
      <c r="D27" s="624"/>
      <c r="E27" s="624"/>
      <c r="F27" s="624"/>
      <c r="G27" s="624"/>
      <c r="H27" s="624"/>
      <c r="I27" s="624"/>
      <c r="J27" s="646"/>
      <c r="K27" s="438">
        <v>43231500</v>
      </c>
      <c r="L27" s="441" t="s">
        <v>595</v>
      </c>
      <c r="M27" s="134">
        <v>44591</v>
      </c>
      <c r="N27" s="134" t="s">
        <v>470</v>
      </c>
      <c r="O27" s="157" t="s">
        <v>381</v>
      </c>
      <c r="P27" s="157" t="s">
        <v>641</v>
      </c>
      <c r="Q27" s="101">
        <v>140000000</v>
      </c>
      <c r="R27" s="443" t="s">
        <v>350</v>
      </c>
      <c r="S27" s="399"/>
      <c r="T27" s="521" t="s">
        <v>516</v>
      </c>
      <c r="U27" s="556">
        <v>26722</v>
      </c>
      <c r="V27" s="557">
        <v>44628</v>
      </c>
      <c r="W27" s="477">
        <v>140000000</v>
      </c>
      <c r="X27" s="477">
        <v>140000000</v>
      </c>
      <c r="Y27" s="477"/>
      <c r="Z27" s="477">
        <f t="shared" ref="Z27" si="10">+Q27-X27</f>
        <v>0</v>
      </c>
      <c r="AA27" s="477">
        <f t="shared" ref="AA27" si="11">+X27-Y27</f>
        <v>140000000</v>
      </c>
      <c r="AB27" s="477">
        <f t="shared" ref="AB27" si="12">+Q27+AA27-Y27</f>
        <v>280000000</v>
      </c>
      <c r="AC27" s="431"/>
      <c r="AD27" s="431"/>
      <c r="AE27" s="431"/>
      <c r="AF27" s="431"/>
      <c r="AG27" s="431"/>
      <c r="AH27" s="431"/>
      <c r="AI27" s="431"/>
      <c r="AJ27" s="431"/>
      <c r="AK27" s="431"/>
      <c r="AL27" s="431"/>
      <c r="AM27" s="431"/>
      <c r="AN27" s="431"/>
      <c r="AO27" s="431"/>
      <c r="AP27" s="431"/>
      <c r="AQ27" s="431"/>
      <c r="AR27" s="431"/>
      <c r="AS27" s="431"/>
      <c r="AT27" s="431"/>
      <c r="AU27" s="431"/>
      <c r="AV27" s="431"/>
      <c r="AW27" s="431"/>
    </row>
    <row r="28" spans="2:67" s="18" customFormat="1" ht="15.75" customHeight="1" x14ac:dyDescent="0.25">
      <c r="B28" s="26" t="s">
        <v>7</v>
      </c>
      <c r="C28" s="27" t="s">
        <v>20</v>
      </c>
      <c r="D28" s="27" t="s">
        <v>20</v>
      </c>
      <c r="E28" s="27"/>
      <c r="F28" s="27"/>
      <c r="G28" s="27"/>
      <c r="H28" s="27"/>
      <c r="I28" s="27"/>
      <c r="J28" s="193"/>
      <c r="K28" s="26"/>
      <c r="L28" s="407" t="s">
        <v>49</v>
      </c>
      <c r="M28" s="129"/>
      <c r="N28" s="129"/>
      <c r="O28" s="152"/>
      <c r="P28" s="152"/>
      <c r="Q28" s="29">
        <f>+Q29+Q93</f>
        <v>4847000000</v>
      </c>
      <c r="R28" s="242"/>
      <c r="S28" s="30"/>
      <c r="T28" s="525"/>
      <c r="U28" s="560"/>
      <c r="V28" s="565"/>
      <c r="W28" s="475"/>
      <c r="X28" s="475"/>
      <c r="Y28" s="475"/>
      <c r="Z28" s="475"/>
      <c r="AA28" s="475"/>
      <c r="AB28" s="475"/>
    </row>
    <row r="29" spans="2:67" ht="15" customHeight="1" x14ac:dyDescent="0.2">
      <c r="B29" s="41" t="s">
        <v>7</v>
      </c>
      <c r="C29" s="42" t="s">
        <v>20</v>
      </c>
      <c r="D29" s="42" t="s">
        <v>20</v>
      </c>
      <c r="E29" s="42" t="s">
        <v>8</v>
      </c>
      <c r="F29" s="42"/>
      <c r="G29" s="42"/>
      <c r="H29" s="42"/>
      <c r="I29" s="42"/>
      <c r="J29" s="194"/>
      <c r="K29" s="41"/>
      <c r="L29" s="408" t="s">
        <v>50</v>
      </c>
      <c r="M29" s="130"/>
      <c r="N29" s="130"/>
      <c r="O29" s="153"/>
      <c r="P29" s="153"/>
      <c r="Q29" s="44">
        <f>+Q30+Q34+Q46+Q72</f>
        <v>1044185600</v>
      </c>
      <c r="R29" s="42"/>
      <c r="S29" s="45"/>
      <c r="T29" s="531"/>
      <c r="U29" s="556"/>
      <c r="V29" s="557"/>
      <c r="W29" s="477"/>
      <c r="X29" s="477"/>
      <c r="Y29" s="477"/>
      <c r="Z29" s="477"/>
      <c r="AA29" s="477"/>
      <c r="AB29" s="477"/>
    </row>
    <row r="30" spans="2:67" ht="15" customHeight="1" x14ac:dyDescent="0.2">
      <c r="B30" s="13" t="s">
        <v>7</v>
      </c>
      <c r="C30" s="14" t="s">
        <v>20</v>
      </c>
      <c r="D30" s="14" t="s">
        <v>20</v>
      </c>
      <c r="E30" s="14" t="s">
        <v>8</v>
      </c>
      <c r="F30" s="14" t="s">
        <v>155</v>
      </c>
      <c r="G30" s="14"/>
      <c r="H30" s="14"/>
      <c r="I30" s="14"/>
      <c r="J30" s="195"/>
      <c r="K30" s="13"/>
      <c r="L30" s="409" t="s">
        <v>156</v>
      </c>
      <c r="M30" s="131"/>
      <c r="N30" s="131"/>
      <c r="O30" s="154"/>
      <c r="P30" s="154"/>
      <c r="Q30" s="16">
        <f>+Q31</f>
        <v>7833000</v>
      </c>
      <c r="R30" s="14"/>
      <c r="S30" s="17"/>
      <c r="T30" s="527"/>
      <c r="U30" s="556"/>
      <c r="V30" s="557"/>
      <c r="W30" s="477"/>
      <c r="X30" s="477"/>
      <c r="Y30" s="477"/>
      <c r="Z30" s="477"/>
      <c r="AA30" s="477"/>
      <c r="AB30" s="477"/>
    </row>
    <row r="31" spans="2:67" ht="15" customHeight="1" x14ac:dyDescent="0.2">
      <c r="B31" s="91" t="s">
        <v>7</v>
      </c>
      <c r="C31" s="92" t="s">
        <v>20</v>
      </c>
      <c r="D31" s="92" t="s">
        <v>20</v>
      </c>
      <c r="E31" s="92" t="s">
        <v>8</v>
      </c>
      <c r="F31" s="92" t="s">
        <v>155</v>
      </c>
      <c r="G31" s="92" t="s">
        <v>9</v>
      </c>
      <c r="H31" s="92"/>
      <c r="I31" s="92"/>
      <c r="J31" s="196"/>
      <c r="K31" s="91"/>
      <c r="L31" s="410" t="s">
        <v>157</v>
      </c>
      <c r="M31" s="132"/>
      <c r="N31" s="132"/>
      <c r="O31" s="155"/>
      <c r="P31" s="155"/>
      <c r="Q31" s="94">
        <f>+Q32</f>
        <v>7833000</v>
      </c>
      <c r="R31" s="92"/>
      <c r="S31" s="95"/>
      <c r="T31" s="528"/>
      <c r="U31" s="556"/>
      <c r="V31" s="557"/>
      <c r="W31" s="477"/>
      <c r="X31" s="477"/>
      <c r="Y31" s="477"/>
      <c r="Z31" s="477"/>
      <c r="AA31" s="477"/>
      <c r="AB31" s="477"/>
    </row>
    <row r="32" spans="2:67" ht="15" customHeight="1" x14ac:dyDescent="0.2">
      <c r="B32" s="12" t="s">
        <v>7</v>
      </c>
      <c r="C32" s="7" t="s">
        <v>20</v>
      </c>
      <c r="D32" s="7" t="s">
        <v>20</v>
      </c>
      <c r="E32" s="7" t="s">
        <v>8</v>
      </c>
      <c r="F32" s="7" t="s">
        <v>155</v>
      </c>
      <c r="G32" s="7" t="s">
        <v>9</v>
      </c>
      <c r="H32" s="7" t="s">
        <v>28</v>
      </c>
      <c r="I32" s="7"/>
      <c r="J32" s="198"/>
      <c r="K32" s="12"/>
      <c r="L32" s="411" t="s">
        <v>184</v>
      </c>
      <c r="M32" s="136"/>
      <c r="N32" s="136"/>
      <c r="O32" s="159"/>
      <c r="P32" s="159"/>
      <c r="Q32" s="8">
        <f>SUM(Q33:Q33)</f>
        <v>7833000</v>
      </c>
      <c r="R32" s="185"/>
      <c r="S32" s="108"/>
      <c r="T32" s="532"/>
      <c r="U32" s="556"/>
      <c r="V32" s="557"/>
      <c r="W32" s="477"/>
      <c r="X32" s="477"/>
      <c r="Y32" s="477"/>
      <c r="Z32" s="477"/>
      <c r="AA32" s="477"/>
      <c r="AB32" s="477"/>
    </row>
    <row r="33" spans="2:28" ht="30" x14ac:dyDescent="0.2">
      <c r="B33" s="623"/>
      <c r="C33" s="624"/>
      <c r="D33" s="624"/>
      <c r="E33" s="624"/>
      <c r="F33" s="624"/>
      <c r="G33" s="624"/>
      <c r="H33" s="624"/>
      <c r="I33" s="624"/>
      <c r="J33" s="624"/>
      <c r="K33" s="440">
        <v>50201700</v>
      </c>
      <c r="L33" s="441" t="s">
        <v>517</v>
      </c>
      <c r="M33" s="134">
        <v>44607</v>
      </c>
      <c r="N33" s="134" t="s">
        <v>467</v>
      </c>
      <c r="O33" s="157" t="s">
        <v>518</v>
      </c>
      <c r="P33" s="157" t="s">
        <v>336</v>
      </c>
      <c r="Q33" s="101">
        <f>6650000+1183000</f>
        <v>7833000</v>
      </c>
      <c r="R33" s="401" t="s">
        <v>350</v>
      </c>
      <c r="S33" s="399"/>
      <c r="T33" s="521" t="s">
        <v>516</v>
      </c>
      <c r="U33" s="556">
        <v>27722</v>
      </c>
      <c r="V33" s="557">
        <v>44631</v>
      </c>
      <c r="W33" s="477">
        <v>7833000</v>
      </c>
      <c r="X33" s="477">
        <v>7833000</v>
      </c>
      <c r="Y33" s="477"/>
      <c r="Z33" s="477">
        <f t="shared" ref="Z33" si="13">+Q33-X33</f>
        <v>0</v>
      </c>
      <c r="AA33" s="477">
        <f t="shared" ref="AA33" si="14">+X33-Y33</f>
        <v>7833000</v>
      </c>
      <c r="AB33" s="477">
        <f t="shared" ref="AB33" si="15">+Q33+AA33-Y33</f>
        <v>15666000</v>
      </c>
    </row>
    <row r="34" spans="2:28" ht="30" customHeight="1" x14ac:dyDescent="0.2">
      <c r="B34" s="13" t="s">
        <v>7</v>
      </c>
      <c r="C34" s="14" t="s">
        <v>20</v>
      </c>
      <c r="D34" s="14" t="s">
        <v>20</v>
      </c>
      <c r="E34" s="14" t="s">
        <v>8</v>
      </c>
      <c r="F34" s="14" t="s">
        <v>10</v>
      </c>
      <c r="G34" s="14"/>
      <c r="H34" s="14"/>
      <c r="I34" s="14"/>
      <c r="J34" s="195"/>
      <c r="K34" s="13"/>
      <c r="L34" s="409" t="s">
        <v>51</v>
      </c>
      <c r="M34" s="131"/>
      <c r="N34" s="131"/>
      <c r="O34" s="154"/>
      <c r="P34" s="154"/>
      <c r="Q34" s="16">
        <f>+Q35+Q43+Q40</f>
        <v>252961000</v>
      </c>
      <c r="R34" s="14"/>
      <c r="S34" s="17"/>
      <c r="T34" s="527"/>
      <c r="U34" s="556"/>
      <c r="V34" s="557"/>
      <c r="W34" s="477"/>
      <c r="X34" s="477"/>
      <c r="Y34" s="477"/>
      <c r="Z34" s="477"/>
      <c r="AA34" s="477"/>
      <c r="AB34" s="477"/>
    </row>
    <row r="35" spans="2:28" ht="30" customHeight="1" x14ac:dyDescent="0.2">
      <c r="B35" s="91" t="s">
        <v>7</v>
      </c>
      <c r="C35" s="92" t="s">
        <v>20</v>
      </c>
      <c r="D35" s="92" t="s">
        <v>20</v>
      </c>
      <c r="E35" s="92" t="s">
        <v>8</v>
      </c>
      <c r="F35" s="92" t="s">
        <v>10</v>
      </c>
      <c r="G35" s="92" t="s">
        <v>11</v>
      </c>
      <c r="H35" s="92"/>
      <c r="I35" s="92"/>
      <c r="J35" s="196"/>
      <c r="K35" s="91"/>
      <c r="L35" s="410" t="s">
        <v>52</v>
      </c>
      <c r="M35" s="132"/>
      <c r="N35" s="132"/>
      <c r="O35" s="155"/>
      <c r="P35" s="155"/>
      <c r="Q35" s="94">
        <f>+Q36+Q38</f>
        <v>10576000</v>
      </c>
      <c r="R35" s="92"/>
      <c r="S35" s="95"/>
      <c r="T35" s="528"/>
      <c r="U35" s="556"/>
      <c r="V35" s="557"/>
      <c r="W35" s="477"/>
      <c r="X35" s="477"/>
      <c r="Y35" s="477"/>
      <c r="Z35" s="477"/>
      <c r="AA35" s="477"/>
      <c r="AB35" s="477"/>
    </row>
    <row r="36" spans="2:28" ht="15" customHeight="1" x14ac:dyDescent="0.2">
      <c r="B36" s="397" t="s">
        <v>7</v>
      </c>
      <c r="C36" s="395" t="s">
        <v>20</v>
      </c>
      <c r="D36" s="395" t="s">
        <v>20</v>
      </c>
      <c r="E36" s="395" t="s">
        <v>8</v>
      </c>
      <c r="F36" s="395" t="s">
        <v>10</v>
      </c>
      <c r="G36" s="395" t="s">
        <v>11</v>
      </c>
      <c r="H36" s="395" t="s">
        <v>27</v>
      </c>
      <c r="I36" s="395"/>
      <c r="J36" s="404"/>
      <c r="K36" s="397"/>
      <c r="L36" s="403" t="s">
        <v>53</v>
      </c>
      <c r="M36" s="133"/>
      <c r="N36" s="133"/>
      <c r="O36" s="156"/>
      <c r="P36" s="156"/>
      <c r="Q36" s="5">
        <f>SUM(Q37:Q37)</f>
        <v>2520000</v>
      </c>
      <c r="R36" s="181"/>
      <c r="S36" s="396"/>
      <c r="T36" s="530"/>
      <c r="U36" s="556"/>
      <c r="V36" s="557"/>
      <c r="W36" s="477"/>
      <c r="X36" s="477"/>
      <c r="Y36" s="477"/>
      <c r="Z36" s="477"/>
      <c r="AA36" s="477"/>
      <c r="AB36" s="477"/>
    </row>
    <row r="37" spans="2:28" ht="30" x14ac:dyDescent="0.2">
      <c r="B37" s="623"/>
      <c r="C37" s="624"/>
      <c r="D37" s="624"/>
      <c r="E37" s="624"/>
      <c r="F37" s="624"/>
      <c r="G37" s="624"/>
      <c r="H37" s="624"/>
      <c r="I37" s="624"/>
      <c r="J37" s="624"/>
      <c r="K37" s="440">
        <v>50161500</v>
      </c>
      <c r="L37" s="441" t="s">
        <v>519</v>
      </c>
      <c r="M37" s="134">
        <v>44607</v>
      </c>
      <c r="N37" s="134" t="s">
        <v>467</v>
      </c>
      <c r="O37" s="157" t="s">
        <v>518</v>
      </c>
      <c r="P37" s="157" t="s">
        <v>336</v>
      </c>
      <c r="Q37" s="101">
        <v>2520000</v>
      </c>
      <c r="R37" s="401"/>
      <c r="S37" s="399"/>
      <c r="T37" s="521" t="s">
        <v>516</v>
      </c>
      <c r="U37" s="639">
        <v>27722</v>
      </c>
      <c r="V37" s="642">
        <v>44631</v>
      </c>
      <c r="W37" s="635">
        <v>10576000</v>
      </c>
      <c r="X37" s="635">
        <v>10576000</v>
      </c>
      <c r="Y37" s="635"/>
      <c r="Z37" s="477">
        <f t="shared" ref="Z37" si="16">+Q37-X37</f>
        <v>-8056000</v>
      </c>
      <c r="AA37" s="477">
        <f t="shared" ref="AA37" si="17">+X37-Y37</f>
        <v>10576000</v>
      </c>
      <c r="AB37" s="477">
        <f t="shared" ref="AB37" si="18">+Q37+AA37-Y37</f>
        <v>13096000</v>
      </c>
    </row>
    <row r="38" spans="2:28" ht="15" customHeight="1" x14ac:dyDescent="0.2">
      <c r="B38" s="397" t="s">
        <v>7</v>
      </c>
      <c r="C38" s="395" t="s">
        <v>20</v>
      </c>
      <c r="D38" s="395" t="s">
        <v>20</v>
      </c>
      <c r="E38" s="395" t="s">
        <v>8</v>
      </c>
      <c r="F38" s="395" t="s">
        <v>10</v>
      </c>
      <c r="G38" s="395" t="s">
        <v>11</v>
      </c>
      <c r="H38" s="395" t="s">
        <v>30</v>
      </c>
      <c r="I38" s="395"/>
      <c r="J38" s="404"/>
      <c r="K38" s="397"/>
      <c r="L38" s="403" t="s">
        <v>54</v>
      </c>
      <c r="M38" s="133"/>
      <c r="N38" s="133"/>
      <c r="O38" s="156"/>
      <c r="P38" s="156"/>
      <c r="Q38" s="5">
        <f>SUM(Q39:Q39)</f>
        <v>8056000</v>
      </c>
      <c r="R38" s="181"/>
      <c r="S38" s="396"/>
      <c r="T38" s="530"/>
      <c r="U38" s="641"/>
      <c r="V38" s="643"/>
      <c r="W38" s="645"/>
      <c r="X38" s="645"/>
      <c r="Y38" s="645"/>
      <c r="Z38" s="477"/>
      <c r="AA38" s="477"/>
      <c r="AB38" s="477"/>
    </row>
    <row r="39" spans="2:28" ht="30" x14ac:dyDescent="0.2">
      <c r="B39" s="623"/>
      <c r="C39" s="624"/>
      <c r="D39" s="624"/>
      <c r="E39" s="624"/>
      <c r="F39" s="624"/>
      <c r="G39" s="624"/>
      <c r="H39" s="624"/>
      <c r="I39" s="624"/>
      <c r="J39" s="624"/>
      <c r="K39" s="438">
        <v>50161500</v>
      </c>
      <c r="L39" s="441" t="s">
        <v>520</v>
      </c>
      <c r="M39" s="134">
        <v>44607</v>
      </c>
      <c r="N39" s="134" t="s">
        <v>467</v>
      </c>
      <c r="O39" s="157" t="s">
        <v>518</v>
      </c>
      <c r="P39" s="157" t="s">
        <v>336</v>
      </c>
      <c r="Q39" s="101">
        <f>4830000+3226000</f>
        <v>8056000</v>
      </c>
      <c r="R39" s="443"/>
      <c r="S39" s="399"/>
      <c r="T39" s="521" t="s">
        <v>516</v>
      </c>
      <c r="U39" s="640"/>
      <c r="V39" s="644"/>
      <c r="W39" s="636"/>
      <c r="X39" s="636"/>
      <c r="Y39" s="636"/>
      <c r="Z39" s="477">
        <f t="shared" ref="Z39" si="19">+Q39-X39</f>
        <v>8056000</v>
      </c>
      <c r="AA39" s="477">
        <f t="shared" ref="AA39" si="20">+X39-Y39</f>
        <v>0</v>
      </c>
      <c r="AB39" s="477">
        <f t="shared" ref="AB39" si="21">+Q39+AA39-Y39</f>
        <v>8056000</v>
      </c>
    </row>
    <row r="40" spans="2:28" ht="15" customHeight="1" x14ac:dyDescent="0.2">
      <c r="B40" s="91" t="s">
        <v>7</v>
      </c>
      <c r="C40" s="92" t="s">
        <v>20</v>
      </c>
      <c r="D40" s="92" t="s">
        <v>20</v>
      </c>
      <c r="E40" s="92" t="s">
        <v>8</v>
      </c>
      <c r="F40" s="92" t="s">
        <v>10</v>
      </c>
      <c r="G40" s="92" t="s">
        <v>15</v>
      </c>
      <c r="H40" s="92"/>
      <c r="I40" s="92"/>
      <c r="J40" s="196"/>
      <c r="K40" s="91"/>
      <c r="L40" s="410" t="s">
        <v>55</v>
      </c>
      <c r="M40" s="132"/>
      <c r="N40" s="132"/>
      <c r="O40" s="155"/>
      <c r="P40" s="155"/>
      <c r="Q40" s="94">
        <f>SUM(Q41:Q42)</f>
        <v>82385000</v>
      </c>
      <c r="R40" s="186"/>
      <c r="S40" s="95"/>
      <c r="T40" s="528"/>
      <c r="U40" s="556"/>
      <c r="V40" s="557"/>
      <c r="W40" s="477"/>
      <c r="X40" s="477"/>
      <c r="Y40" s="477"/>
      <c r="Z40" s="477"/>
      <c r="AA40" s="477"/>
      <c r="AB40" s="477"/>
    </row>
    <row r="41" spans="2:28" ht="30" x14ac:dyDescent="0.2">
      <c r="B41" s="623"/>
      <c r="C41" s="624"/>
      <c r="D41" s="624"/>
      <c r="E41" s="624"/>
      <c r="F41" s="624"/>
      <c r="G41" s="624"/>
      <c r="H41" s="624"/>
      <c r="I41" s="624"/>
      <c r="J41" s="624"/>
      <c r="K41" s="438">
        <v>14121500</v>
      </c>
      <c r="L41" s="441" t="s">
        <v>521</v>
      </c>
      <c r="M41" s="134">
        <v>44607</v>
      </c>
      <c r="N41" s="134" t="s">
        <v>467</v>
      </c>
      <c r="O41" s="157" t="s">
        <v>518</v>
      </c>
      <c r="P41" s="157" t="s">
        <v>336</v>
      </c>
      <c r="Q41" s="101">
        <f>350000+35000</f>
        <v>385000</v>
      </c>
      <c r="R41" s="401"/>
      <c r="S41" s="399"/>
      <c r="T41" s="521" t="s">
        <v>516</v>
      </c>
      <c r="U41" s="583">
        <v>27722</v>
      </c>
      <c r="V41" s="557">
        <v>44631</v>
      </c>
      <c r="W41" s="477">
        <v>385000</v>
      </c>
      <c r="X41" s="477">
        <v>385000</v>
      </c>
      <c r="Y41" s="477"/>
      <c r="Z41" s="477">
        <f t="shared" ref="Z41" si="22">+Q41-X41</f>
        <v>0</v>
      </c>
      <c r="AA41" s="477">
        <f t="shared" ref="AA41" si="23">+X41-Y41</f>
        <v>385000</v>
      </c>
      <c r="AB41" s="477">
        <f t="shared" ref="AB41" si="24">+Q41+AA41-Y41</f>
        <v>770000</v>
      </c>
    </row>
    <row r="42" spans="2:28" ht="120" x14ac:dyDescent="0.2">
      <c r="B42" s="625"/>
      <c r="C42" s="626"/>
      <c r="D42" s="626"/>
      <c r="E42" s="626"/>
      <c r="F42" s="626"/>
      <c r="G42" s="626"/>
      <c r="H42" s="626"/>
      <c r="I42" s="626"/>
      <c r="J42" s="626"/>
      <c r="K42" s="177" t="s">
        <v>537</v>
      </c>
      <c r="L42" s="400" t="s">
        <v>277</v>
      </c>
      <c r="M42" s="134">
        <v>44696</v>
      </c>
      <c r="N42" s="134" t="s">
        <v>538</v>
      </c>
      <c r="O42" s="157" t="s">
        <v>539</v>
      </c>
      <c r="P42" s="157" t="s">
        <v>535</v>
      </c>
      <c r="Q42" s="101">
        <v>82000000</v>
      </c>
      <c r="R42" s="443" t="s">
        <v>386</v>
      </c>
      <c r="S42" s="399"/>
      <c r="T42" s="521" t="s">
        <v>536</v>
      </c>
      <c r="U42" s="581"/>
      <c r="V42" s="557"/>
      <c r="W42" s="477"/>
      <c r="X42" s="477"/>
      <c r="Y42" s="477"/>
      <c r="Z42" s="477">
        <f t="shared" ref="Z42" si="25">+Q42-X42</f>
        <v>82000000</v>
      </c>
      <c r="AA42" s="477">
        <f t="shared" ref="AA42" si="26">+X42-Y42</f>
        <v>0</v>
      </c>
      <c r="AB42" s="477">
        <f t="shared" ref="AB42" si="27">+Q42+AA42-Y42</f>
        <v>82000000</v>
      </c>
    </row>
    <row r="43" spans="2:28" ht="15" customHeight="1" x14ac:dyDescent="0.2">
      <c r="B43" s="91" t="s">
        <v>7</v>
      </c>
      <c r="C43" s="92" t="s">
        <v>20</v>
      </c>
      <c r="D43" s="92" t="s">
        <v>20</v>
      </c>
      <c r="E43" s="92" t="s">
        <v>8</v>
      </c>
      <c r="F43" s="92" t="s">
        <v>10</v>
      </c>
      <c r="G43" s="92" t="s">
        <v>16</v>
      </c>
      <c r="H43" s="92"/>
      <c r="I43" s="92"/>
      <c r="J43" s="196"/>
      <c r="K43" s="91"/>
      <c r="L43" s="410" t="s">
        <v>56</v>
      </c>
      <c r="M43" s="132"/>
      <c r="N43" s="132"/>
      <c r="O43" s="155"/>
      <c r="P43" s="155"/>
      <c r="Q43" s="94">
        <f>SUM(Q44:Q45)</f>
        <v>160000000</v>
      </c>
      <c r="R43" s="92"/>
      <c r="S43" s="95"/>
      <c r="T43" s="528"/>
      <c r="U43" s="556"/>
      <c r="V43" s="557"/>
      <c r="W43" s="477"/>
      <c r="X43" s="477"/>
      <c r="Y43" s="477"/>
      <c r="Z43" s="477">
        <f t="shared" ref="Z43:Z44" si="28">+Q43-X43</f>
        <v>160000000</v>
      </c>
      <c r="AA43" s="477">
        <f t="shared" ref="AA43:AA44" si="29">+X43-Y43</f>
        <v>0</v>
      </c>
      <c r="AB43" s="477">
        <f t="shared" ref="AB43" si="30">+S43+AA43-Y43</f>
        <v>0</v>
      </c>
    </row>
    <row r="44" spans="2:28" ht="45" x14ac:dyDescent="0.2">
      <c r="B44" s="623"/>
      <c r="C44" s="624"/>
      <c r="D44" s="624"/>
      <c r="E44" s="624"/>
      <c r="F44" s="624"/>
      <c r="G44" s="624"/>
      <c r="H44" s="624"/>
      <c r="I44" s="624"/>
      <c r="J44" s="624"/>
      <c r="K44" s="440" t="s">
        <v>522</v>
      </c>
      <c r="L44" s="441" t="s">
        <v>183</v>
      </c>
      <c r="M44" s="134">
        <v>44635</v>
      </c>
      <c r="N44" s="134" t="s">
        <v>528</v>
      </c>
      <c r="O44" s="157" t="s">
        <v>518</v>
      </c>
      <c r="P44" s="157" t="s">
        <v>642</v>
      </c>
      <c r="Q44" s="101">
        <v>62000000</v>
      </c>
      <c r="R44" s="443"/>
      <c r="S44" s="399"/>
      <c r="T44" s="521" t="s">
        <v>516</v>
      </c>
      <c r="U44" s="556">
        <v>26922</v>
      </c>
      <c r="V44" s="557">
        <v>44629</v>
      </c>
      <c r="W44" s="477">
        <v>62000000</v>
      </c>
      <c r="X44" s="477">
        <v>62000000</v>
      </c>
      <c r="Y44" s="477"/>
      <c r="Z44" s="477">
        <f t="shared" si="28"/>
        <v>0</v>
      </c>
      <c r="AA44" s="477">
        <f t="shared" si="29"/>
        <v>62000000</v>
      </c>
      <c r="AB44" s="477">
        <f t="shared" ref="AB44" si="31">+Q44+AA44-Y44</f>
        <v>124000000</v>
      </c>
    </row>
    <row r="45" spans="2:28" ht="120" x14ac:dyDescent="0.2">
      <c r="B45" s="625"/>
      <c r="C45" s="626"/>
      <c r="D45" s="626"/>
      <c r="E45" s="626"/>
      <c r="F45" s="626"/>
      <c r="G45" s="626"/>
      <c r="H45" s="626"/>
      <c r="I45" s="626"/>
      <c r="J45" s="626"/>
      <c r="K45" s="177" t="s">
        <v>537</v>
      </c>
      <c r="L45" s="400" t="s">
        <v>278</v>
      </c>
      <c r="M45" s="134">
        <v>44696</v>
      </c>
      <c r="N45" s="134" t="s">
        <v>538</v>
      </c>
      <c r="O45" s="157" t="s">
        <v>539</v>
      </c>
      <c r="P45" s="157" t="s">
        <v>535</v>
      </c>
      <c r="Q45" s="101">
        <f>115000000-2000000-15000000</f>
        <v>98000000</v>
      </c>
      <c r="R45" s="443" t="s">
        <v>350</v>
      </c>
      <c r="S45" s="399"/>
      <c r="T45" s="521" t="s">
        <v>536</v>
      </c>
      <c r="U45" s="556"/>
      <c r="V45" s="557"/>
      <c r="W45" s="477"/>
      <c r="X45" s="477"/>
      <c r="Y45" s="477"/>
      <c r="Z45" s="477">
        <f t="shared" ref="Z45" si="32">+Q45-X45</f>
        <v>98000000</v>
      </c>
      <c r="AA45" s="477">
        <f t="shared" ref="AA45" si="33">+X45-Y45</f>
        <v>0</v>
      </c>
      <c r="AB45" s="477">
        <f t="shared" ref="AB45" si="34">+Q45+AA45-Y45</f>
        <v>98000000</v>
      </c>
    </row>
    <row r="46" spans="2:28" ht="30" customHeight="1" x14ac:dyDescent="0.2">
      <c r="B46" s="13" t="s">
        <v>7</v>
      </c>
      <c r="C46" s="14" t="s">
        <v>20</v>
      </c>
      <c r="D46" s="14" t="s">
        <v>20</v>
      </c>
      <c r="E46" s="14" t="s">
        <v>8</v>
      </c>
      <c r="F46" s="14" t="s">
        <v>11</v>
      </c>
      <c r="G46" s="14"/>
      <c r="H46" s="14"/>
      <c r="I46" s="14"/>
      <c r="J46" s="195"/>
      <c r="K46" s="13"/>
      <c r="L46" s="409" t="s">
        <v>57</v>
      </c>
      <c r="M46" s="131"/>
      <c r="N46" s="131"/>
      <c r="O46" s="154"/>
      <c r="P46" s="154"/>
      <c r="Q46" s="16">
        <f>+Q47+Q54+Q59+Q62+Q69</f>
        <v>215436600</v>
      </c>
      <c r="R46" s="14"/>
      <c r="S46" s="17"/>
      <c r="T46" s="527"/>
      <c r="U46" s="556"/>
      <c r="V46" s="557"/>
      <c r="W46" s="477"/>
      <c r="X46" s="477"/>
      <c r="Y46" s="477"/>
      <c r="Z46" s="477"/>
      <c r="AA46" s="477"/>
      <c r="AB46" s="477"/>
    </row>
    <row r="47" spans="2:28" ht="30" customHeight="1" x14ac:dyDescent="0.2">
      <c r="B47" s="91" t="s">
        <v>7</v>
      </c>
      <c r="C47" s="92" t="s">
        <v>20</v>
      </c>
      <c r="D47" s="92" t="s">
        <v>20</v>
      </c>
      <c r="E47" s="92" t="s">
        <v>8</v>
      </c>
      <c r="F47" s="92" t="s">
        <v>11</v>
      </c>
      <c r="G47" s="92" t="s">
        <v>10</v>
      </c>
      <c r="H47" s="92"/>
      <c r="I47" s="92"/>
      <c r="J47" s="196"/>
      <c r="K47" s="91"/>
      <c r="L47" s="410" t="s">
        <v>58</v>
      </c>
      <c r="M47" s="132"/>
      <c r="N47" s="132"/>
      <c r="O47" s="155"/>
      <c r="P47" s="155"/>
      <c r="Q47" s="94">
        <f>+Q48+Q51</f>
        <v>39944600</v>
      </c>
      <c r="R47" s="92"/>
      <c r="S47" s="95"/>
      <c r="T47" s="528"/>
      <c r="U47" s="556"/>
      <c r="V47" s="557"/>
      <c r="W47" s="477"/>
      <c r="X47" s="477"/>
      <c r="Y47" s="477"/>
      <c r="Z47" s="477"/>
      <c r="AA47" s="477"/>
      <c r="AB47" s="477"/>
    </row>
    <row r="48" spans="2:28" ht="15" customHeight="1" x14ac:dyDescent="0.2">
      <c r="B48" s="397" t="s">
        <v>7</v>
      </c>
      <c r="C48" s="395" t="s">
        <v>20</v>
      </c>
      <c r="D48" s="395" t="s">
        <v>20</v>
      </c>
      <c r="E48" s="395" t="s">
        <v>8</v>
      </c>
      <c r="F48" s="395" t="s">
        <v>11</v>
      </c>
      <c r="G48" s="395" t="s">
        <v>10</v>
      </c>
      <c r="H48" s="395" t="s">
        <v>8</v>
      </c>
      <c r="I48" s="395"/>
      <c r="J48" s="404"/>
      <c r="K48" s="397"/>
      <c r="L48" s="403" t="s">
        <v>59</v>
      </c>
      <c r="M48" s="133"/>
      <c r="N48" s="133"/>
      <c r="O48" s="156"/>
      <c r="P48" s="156"/>
      <c r="Q48" s="5">
        <f>SUM(Q49:Q50)</f>
        <v>32254000</v>
      </c>
      <c r="R48" s="181"/>
      <c r="S48" s="396"/>
      <c r="T48" s="530"/>
      <c r="U48" s="556"/>
      <c r="V48" s="557"/>
      <c r="W48" s="477"/>
      <c r="X48" s="477"/>
      <c r="Y48" s="477"/>
      <c r="Z48" s="477"/>
      <c r="AA48" s="477"/>
      <c r="AB48" s="477"/>
    </row>
    <row r="49" spans="2:28" ht="180" x14ac:dyDescent="0.2">
      <c r="B49" s="623"/>
      <c r="C49" s="624"/>
      <c r="D49" s="624"/>
      <c r="E49" s="624"/>
      <c r="F49" s="624"/>
      <c r="G49" s="624"/>
      <c r="H49" s="624"/>
      <c r="I49" s="624"/>
      <c r="J49" s="624"/>
      <c r="K49" s="440" t="s">
        <v>500</v>
      </c>
      <c r="L49" s="441" t="s">
        <v>218</v>
      </c>
      <c r="M49" s="134">
        <v>44607</v>
      </c>
      <c r="N49" s="134" t="s">
        <v>486</v>
      </c>
      <c r="O49" s="157" t="s">
        <v>501</v>
      </c>
      <c r="P49" s="157" t="s">
        <v>336</v>
      </c>
      <c r="Q49" s="493">
        <v>20000000</v>
      </c>
      <c r="R49" s="443"/>
      <c r="S49" s="439"/>
      <c r="T49" s="521" t="s">
        <v>222</v>
      </c>
      <c r="U49" s="556">
        <v>17922</v>
      </c>
      <c r="V49" s="557">
        <v>44603</v>
      </c>
      <c r="W49" s="477">
        <v>20000000</v>
      </c>
      <c r="X49" s="477">
        <v>20000000</v>
      </c>
      <c r="Y49" s="477">
        <v>20000000</v>
      </c>
      <c r="Z49" s="477">
        <f t="shared" ref="Z49" si="35">+Q49-X49</f>
        <v>0</v>
      </c>
      <c r="AA49" s="477">
        <f t="shared" ref="AA49" si="36">+X49-Y49</f>
        <v>0</v>
      </c>
      <c r="AB49" s="477">
        <f t="shared" ref="AB49" si="37">+Q49+AA49-Y49</f>
        <v>0</v>
      </c>
    </row>
    <row r="50" spans="2:28" ht="45" x14ac:dyDescent="0.2">
      <c r="B50" s="625"/>
      <c r="C50" s="626"/>
      <c r="D50" s="626"/>
      <c r="E50" s="626"/>
      <c r="F50" s="626"/>
      <c r="G50" s="626"/>
      <c r="H50" s="626"/>
      <c r="I50" s="626"/>
      <c r="J50" s="626"/>
      <c r="K50" s="440" t="s">
        <v>361</v>
      </c>
      <c r="L50" s="441" t="s">
        <v>523</v>
      </c>
      <c r="M50" s="134">
        <v>44607</v>
      </c>
      <c r="N50" s="134" t="s">
        <v>467</v>
      </c>
      <c r="O50" s="157" t="s">
        <v>518</v>
      </c>
      <c r="P50" s="157" t="s">
        <v>336</v>
      </c>
      <c r="Q50" s="101">
        <f>8750000+3504000</f>
        <v>12254000</v>
      </c>
      <c r="R50" s="401" t="s">
        <v>350</v>
      </c>
      <c r="S50" s="399"/>
      <c r="T50" s="521" t="s">
        <v>516</v>
      </c>
      <c r="U50" s="556">
        <v>27722</v>
      </c>
      <c r="V50" s="557">
        <v>44631</v>
      </c>
      <c r="W50" s="477">
        <v>12254000</v>
      </c>
      <c r="X50" s="477">
        <v>12254000</v>
      </c>
      <c r="Y50" s="477"/>
      <c r="Z50" s="477">
        <f t="shared" ref="Z50" si="38">+Q50-X50</f>
        <v>0</v>
      </c>
      <c r="AA50" s="477">
        <f t="shared" ref="AA50" si="39">+X50-Y50</f>
        <v>12254000</v>
      </c>
      <c r="AB50" s="477">
        <f t="shared" ref="AB50" si="40">+Q50+AA50-Y50</f>
        <v>24508000</v>
      </c>
    </row>
    <row r="51" spans="2:28" ht="30" customHeight="1" x14ac:dyDescent="0.2">
      <c r="B51" s="397" t="s">
        <v>7</v>
      </c>
      <c r="C51" s="395" t="s">
        <v>20</v>
      </c>
      <c r="D51" s="395" t="s">
        <v>20</v>
      </c>
      <c r="E51" s="395" t="s">
        <v>8</v>
      </c>
      <c r="F51" s="395" t="s">
        <v>11</v>
      </c>
      <c r="G51" s="395" t="s">
        <v>10</v>
      </c>
      <c r="H51" s="395" t="s">
        <v>24</v>
      </c>
      <c r="I51" s="395"/>
      <c r="J51" s="404"/>
      <c r="K51" s="397"/>
      <c r="L51" s="403" t="s">
        <v>138</v>
      </c>
      <c r="M51" s="133"/>
      <c r="N51" s="133"/>
      <c r="O51" s="156"/>
      <c r="P51" s="156"/>
      <c r="Q51" s="5">
        <f>SUM(Q52:Q53)</f>
        <v>7690600</v>
      </c>
      <c r="R51" s="181"/>
      <c r="S51" s="396"/>
      <c r="T51" s="530"/>
      <c r="U51" s="556"/>
      <c r="V51" s="557"/>
      <c r="W51" s="477"/>
      <c r="X51" s="477"/>
      <c r="Y51" s="477"/>
      <c r="Z51" s="477"/>
      <c r="AA51" s="477"/>
      <c r="AB51" s="477"/>
    </row>
    <row r="52" spans="2:28" x14ac:dyDescent="0.2">
      <c r="B52" s="625"/>
      <c r="C52" s="626"/>
      <c r="D52" s="626"/>
      <c r="E52" s="626"/>
      <c r="F52" s="626"/>
      <c r="G52" s="626"/>
      <c r="H52" s="626"/>
      <c r="I52" s="626"/>
      <c r="J52" s="626"/>
      <c r="K52" s="438"/>
      <c r="L52" s="441" t="s">
        <v>240</v>
      </c>
      <c r="M52" s="134" t="s">
        <v>375</v>
      </c>
      <c r="N52" s="134" t="s">
        <v>375</v>
      </c>
      <c r="O52" s="134" t="s">
        <v>375</v>
      </c>
      <c r="P52" s="134" t="s">
        <v>375</v>
      </c>
      <c r="Q52" s="101">
        <v>5500000</v>
      </c>
      <c r="R52" s="443"/>
      <c r="S52" s="439"/>
      <c r="T52" s="521"/>
      <c r="U52" s="556">
        <v>19722</v>
      </c>
      <c r="V52" s="557">
        <v>44608</v>
      </c>
      <c r="W52" s="478">
        <v>1000000</v>
      </c>
      <c r="X52" s="478">
        <v>1000000</v>
      </c>
      <c r="Y52" s="478">
        <v>1000000</v>
      </c>
      <c r="Z52" s="477">
        <f t="shared" ref="Z52" si="41">+Q52-X52</f>
        <v>4500000</v>
      </c>
      <c r="AA52" s="477">
        <f t="shared" ref="AA52" si="42">+X52-Y52</f>
        <v>0</v>
      </c>
      <c r="AB52" s="477">
        <f t="shared" ref="AB52" si="43">+Q52+AA52-Y52</f>
        <v>4500000</v>
      </c>
    </row>
    <row r="53" spans="2:28" s="431" customFormat="1" ht="135" x14ac:dyDescent="0.2">
      <c r="B53" s="577"/>
      <c r="C53" s="578"/>
      <c r="D53" s="578"/>
      <c r="E53" s="578"/>
      <c r="F53" s="578"/>
      <c r="G53" s="578"/>
      <c r="H53" s="578"/>
      <c r="I53" s="578"/>
      <c r="J53" s="578"/>
      <c r="K53" s="440" t="s">
        <v>747</v>
      </c>
      <c r="L53" s="441" t="s">
        <v>746</v>
      </c>
      <c r="M53" s="134">
        <v>44635</v>
      </c>
      <c r="N53" s="134" t="s">
        <v>467</v>
      </c>
      <c r="O53" s="134" t="s">
        <v>468</v>
      </c>
      <c r="P53" s="134" t="s">
        <v>748</v>
      </c>
      <c r="Q53" s="101">
        <v>2190600</v>
      </c>
      <c r="R53" s="443"/>
      <c r="S53" s="439"/>
      <c r="T53" s="521"/>
      <c r="U53" s="556">
        <v>24122</v>
      </c>
      <c r="V53" s="557">
        <v>44623</v>
      </c>
      <c r="W53" s="478">
        <v>2190600</v>
      </c>
      <c r="X53" s="478">
        <v>2190600</v>
      </c>
      <c r="Y53" s="478">
        <v>2190600</v>
      </c>
      <c r="Z53" s="477"/>
      <c r="AA53" s="477"/>
      <c r="AB53" s="477"/>
    </row>
    <row r="54" spans="2:28" ht="30" customHeight="1" x14ac:dyDescent="0.2">
      <c r="B54" s="91" t="s">
        <v>7</v>
      </c>
      <c r="C54" s="92" t="s">
        <v>20</v>
      </c>
      <c r="D54" s="92" t="s">
        <v>20</v>
      </c>
      <c r="E54" s="92" t="s">
        <v>8</v>
      </c>
      <c r="F54" s="92" t="s">
        <v>11</v>
      </c>
      <c r="G54" s="92" t="s">
        <v>11</v>
      </c>
      <c r="H54" s="92"/>
      <c r="I54" s="92"/>
      <c r="J54" s="196"/>
      <c r="K54" s="91"/>
      <c r="L54" s="410" t="s">
        <v>60</v>
      </c>
      <c r="M54" s="132"/>
      <c r="N54" s="132"/>
      <c r="O54" s="155"/>
      <c r="P54" s="155"/>
      <c r="Q54" s="94">
        <f>+Q55+Q57</f>
        <v>55000000</v>
      </c>
      <c r="R54" s="92"/>
      <c r="S54" s="95"/>
      <c r="T54" s="528"/>
      <c r="U54" s="556"/>
      <c r="V54" s="557"/>
      <c r="W54" s="477"/>
      <c r="X54" s="477"/>
      <c r="Y54" s="477"/>
      <c r="Z54" s="477"/>
      <c r="AA54" s="477"/>
      <c r="AB54" s="477"/>
    </row>
    <row r="55" spans="2:28" ht="60" customHeight="1" x14ac:dyDescent="0.2">
      <c r="B55" s="397" t="s">
        <v>7</v>
      </c>
      <c r="C55" s="395" t="s">
        <v>20</v>
      </c>
      <c r="D55" s="395" t="s">
        <v>20</v>
      </c>
      <c r="E55" s="395" t="s">
        <v>8</v>
      </c>
      <c r="F55" s="395" t="s">
        <v>11</v>
      </c>
      <c r="G55" s="395" t="s">
        <v>11</v>
      </c>
      <c r="H55" s="395" t="s">
        <v>23</v>
      </c>
      <c r="I55" s="395"/>
      <c r="J55" s="404"/>
      <c r="K55" s="397"/>
      <c r="L55" s="403" t="s">
        <v>241</v>
      </c>
      <c r="M55" s="133"/>
      <c r="N55" s="133"/>
      <c r="O55" s="156"/>
      <c r="P55" s="156"/>
      <c r="Q55" s="5">
        <f>SUM(Q56:Q56)</f>
        <v>5000000</v>
      </c>
      <c r="R55" s="181"/>
      <c r="S55" s="396"/>
      <c r="T55" s="530"/>
      <c r="U55" s="556"/>
      <c r="V55" s="557"/>
      <c r="W55" s="477"/>
      <c r="X55" s="477"/>
      <c r="Y55" s="477"/>
      <c r="Z55" s="477"/>
      <c r="AA55" s="477"/>
      <c r="AB55" s="477"/>
    </row>
    <row r="56" spans="2:28" ht="52.5" customHeight="1" x14ac:dyDescent="0.2">
      <c r="B56" s="623"/>
      <c r="C56" s="624"/>
      <c r="D56" s="624"/>
      <c r="E56" s="624"/>
      <c r="F56" s="624"/>
      <c r="G56" s="624"/>
      <c r="H56" s="624"/>
      <c r="I56" s="624"/>
      <c r="J56" s="624"/>
      <c r="K56" s="438">
        <v>15121500</v>
      </c>
      <c r="L56" s="441" t="s">
        <v>571</v>
      </c>
      <c r="M56" s="134">
        <v>44596</v>
      </c>
      <c r="N56" s="134" t="s">
        <v>470</v>
      </c>
      <c r="O56" s="157" t="s">
        <v>556</v>
      </c>
      <c r="P56" s="157" t="s">
        <v>535</v>
      </c>
      <c r="Q56" s="101">
        <v>5000000</v>
      </c>
      <c r="R56" s="443"/>
      <c r="S56" s="439"/>
      <c r="T56" s="521" t="s">
        <v>572</v>
      </c>
      <c r="U56" s="556">
        <v>20922</v>
      </c>
      <c r="V56" s="557">
        <v>44610</v>
      </c>
      <c r="W56" s="478">
        <v>5000000</v>
      </c>
      <c r="X56" s="478">
        <v>5000000</v>
      </c>
      <c r="Y56" s="478">
        <v>5000000</v>
      </c>
      <c r="Z56" s="477">
        <f t="shared" ref="Z56" si="44">+Q56-X56</f>
        <v>0</v>
      </c>
      <c r="AA56" s="477">
        <f t="shared" ref="AA56" si="45">+X56-Y56</f>
        <v>0</v>
      </c>
      <c r="AB56" s="477">
        <f t="shared" ref="AB56" si="46">+Q56+AA56-Y56</f>
        <v>0</v>
      </c>
    </row>
    <row r="57" spans="2:28" ht="30" customHeight="1" x14ac:dyDescent="0.2">
      <c r="B57" s="397" t="s">
        <v>7</v>
      </c>
      <c r="C57" s="395" t="s">
        <v>20</v>
      </c>
      <c r="D57" s="395" t="s">
        <v>20</v>
      </c>
      <c r="E57" s="395" t="s">
        <v>8</v>
      </c>
      <c r="F57" s="395" t="s">
        <v>11</v>
      </c>
      <c r="G57" s="395" t="s">
        <v>11</v>
      </c>
      <c r="H57" s="395" t="s">
        <v>24</v>
      </c>
      <c r="I57" s="395"/>
      <c r="J57" s="404"/>
      <c r="K57" s="397"/>
      <c r="L57" s="403" t="s">
        <v>61</v>
      </c>
      <c r="M57" s="133"/>
      <c r="N57" s="133"/>
      <c r="O57" s="156"/>
      <c r="P57" s="156"/>
      <c r="Q57" s="5">
        <f>SUM(Q58:Q58)</f>
        <v>50000000</v>
      </c>
      <c r="R57" s="181"/>
      <c r="S57" s="396"/>
      <c r="T57" s="530"/>
      <c r="U57" s="556"/>
      <c r="V57" s="557"/>
      <c r="W57" s="477"/>
      <c r="X57" s="477"/>
      <c r="Y57" s="477"/>
      <c r="Z57" s="477"/>
      <c r="AA57" s="477"/>
      <c r="AB57" s="477"/>
    </row>
    <row r="58" spans="2:28" ht="54" customHeight="1" x14ac:dyDescent="0.2">
      <c r="B58" s="623"/>
      <c r="C58" s="624"/>
      <c r="D58" s="624"/>
      <c r="E58" s="624"/>
      <c r="F58" s="624"/>
      <c r="G58" s="624"/>
      <c r="H58" s="624"/>
      <c r="I58" s="624"/>
      <c r="J58" s="624"/>
      <c r="K58" s="438">
        <v>15121500</v>
      </c>
      <c r="L58" s="495" t="s">
        <v>573</v>
      </c>
      <c r="M58" s="134">
        <v>44582</v>
      </c>
      <c r="N58" s="134" t="s">
        <v>470</v>
      </c>
      <c r="O58" s="157" t="s">
        <v>556</v>
      </c>
      <c r="P58" s="157" t="s">
        <v>642</v>
      </c>
      <c r="Q58" s="101">
        <v>50000000</v>
      </c>
      <c r="R58" s="443"/>
      <c r="S58" s="439"/>
      <c r="T58" s="521" t="s">
        <v>572</v>
      </c>
      <c r="U58" s="584">
        <v>3222</v>
      </c>
      <c r="V58" s="569">
        <v>44573</v>
      </c>
      <c r="W58" s="568">
        <v>30000000</v>
      </c>
      <c r="X58" s="568">
        <v>30000000</v>
      </c>
      <c r="Y58" s="568">
        <v>30000000</v>
      </c>
      <c r="Z58" s="477">
        <f t="shared" ref="Z58" si="47">+Q58-X58</f>
        <v>20000000</v>
      </c>
      <c r="AA58" s="477">
        <f t="shared" ref="AA58" si="48">+X58-Y58</f>
        <v>0</v>
      </c>
      <c r="AB58" s="477">
        <f t="shared" ref="AB58" si="49">+Q58+AA58-Y58</f>
        <v>20000000</v>
      </c>
    </row>
    <row r="59" spans="2:28" ht="30" customHeight="1" x14ac:dyDescent="0.2">
      <c r="B59" s="91" t="s">
        <v>7</v>
      </c>
      <c r="C59" s="92" t="s">
        <v>20</v>
      </c>
      <c r="D59" s="92" t="s">
        <v>20</v>
      </c>
      <c r="E59" s="92" t="s">
        <v>8</v>
      </c>
      <c r="F59" s="92" t="s">
        <v>11</v>
      </c>
      <c r="G59" s="92" t="s">
        <v>13</v>
      </c>
      <c r="H59" s="92"/>
      <c r="I59" s="92"/>
      <c r="J59" s="196"/>
      <c r="K59" s="91"/>
      <c r="L59" s="410" t="s">
        <v>64</v>
      </c>
      <c r="M59" s="132"/>
      <c r="N59" s="132"/>
      <c r="O59" s="155"/>
      <c r="P59" s="155"/>
      <c r="Q59" s="94">
        <f>Q60</f>
        <v>14332000</v>
      </c>
      <c r="R59" s="92"/>
      <c r="S59" s="95"/>
      <c r="T59" s="528"/>
      <c r="U59" s="556"/>
      <c r="V59" s="557"/>
      <c r="W59" s="477"/>
      <c r="X59" s="477"/>
      <c r="Y59" s="477"/>
      <c r="Z59" s="477"/>
      <c r="AA59" s="477"/>
      <c r="AB59" s="477"/>
    </row>
    <row r="60" spans="2:28" ht="30" x14ac:dyDescent="0.2">
      <c r="B60" s="397" t="s">
        <v>7</v>
      </c>
      <c r="C60" s="395" t="s">
        <v>20</v>
      </c>
      <c r="D60" s="395" t="s">
        <v>20</v>
      </c>
      <c r="E60" s="395" t="s">
        <v>8</v>
      </c>
      <c r="F60" s="395" t="s">
        <v>11</v>
      </c>
      <c r="G60" s="395" t="s">
        <v>13</v>
      </c>
      <c r="H60" s="395" t="s">
        <v>23</v>
      </c>
      <c r="I60" s="395"/>
      <c r="J60" s="404"/>
      <c r="K60" s="397"/>
      <c r="L60" s="403" t="s">
        <v>65</v>
      </c>
      <c r="M60" s="133"/>
      <c r="N60" s="133"/>
      <c r="O60" s="156"/>
      <c r="P60" s="156"/>
      <c r="Q60" s="5">
        <f>SUM(Q61:Q61)</f>
        <v>14332000</v>
      </c>
      <c r="R60" s="181"/>
      <c r="S60" s="396"/>
      <c r="T60" s="530"/>
      <c r="U60" s="556"/>
      <c r="V60" s="557"/>
      <c r="W60" s="477"/>
      <c r="X60" s="477"/>
      <c r="Y60" s="477"/>
      <c r="Z60" s="477"/>
      <c r="AA60" s="477"/>
      <c r="AB60" s="477"/>
    </row>
    <row r="61" spans="2:28" ht="30" x14ac:dyDescent="0.2">
      <c r="B61" s="623"/>
      <c r="C61" s="624"/>
      <c r="D61" s="624"/>
      <c r="E61" s="624"/>
      <c r="F61" s="624"/>
      <c r="G61" s="624"/>
      <c r="H61" s="624"/>
      <c r="I61" s="624"/>
      <c r="J61" s="624"/>
      <c r="K61" s="440" t="s">
        <v>378</v>
      </c>
      <c r="L61" s="441" t="s">
        <v>524</v>
      </c>
      <c r="M61" s="134">
        <v>44607</v>
      </c>
      <c r="N61" s="134" t="s">
        <v>467</v>
      </c>
      <c r="O61" s="157" t="s">
        <v>518</v>
      </c>
      <c r="P61" s="157" t="s">
        <v>336</v>
      </c>
      <c r="Q61" s="101">
        <f>12600000+1732000</f>
        <v>14332000</v>
      </c>
      <c r="R61" s="401" t="s">
        <v>350</v>
      </c>
      <c r="S61" s="399"/>
      <c r="T61" s="521" t="s">
        <v>516</v>
      </c>
      <c r="U61" s="556">
        <v>27722</v>
      </c>
      <c r="V61" s="557">
        <v>44631</v>
      </c>
      <c r="W61" s="477">
        <v>14332000</v>
      </c>
      <c r="X61" s="477">
        <v>14332000</v>
      </c>
      <c r="Y61" s="477"/>
      <c r="Z61" s="477">
        <f t="shared" ref="Z61" si="50">+Q61-X61</f>
        <v>0</v>
      </c>
      <c r="AA61" s="477">
        <f t="shared" ref="AA61" si="51">+X61-Y61</f>
        <v>14332000</v>
      </c>
      <c r="AB61" s="477">
        <f t="shared" ref="AB61" si="52">+Q61+AA61-Y61</f>
        <v>28664000</v>
      </c>
    </row>
    <row r="62" spans="2:28" ht="15" customHeight="1" x14ac:dyDescent="0.2">
      <c r="B62" s="91" t="s">
        <v>7</v>
      </c>
      <c r="C62" s="92" t="s">
        <v>20</v>
      </c>
      <c r="D62" s="92" t="s">
        <v>20</v>
      </c>
      <c r="E62" s="92" t="s">
        <v>8</v>
      </c>
      <c r="F62" s="92" t="s">
        <v>11</v>
      </c>
      <c r="G62" s="92" t="s">
        <v>14</v>
      </c>
      <c r="H62" s="92"/>
      <c r="I62" s="92"/>
      <c r="J62" s="196"/>
      <c r="K62" s="91"/>
      <c r="L62" s="410" t="s">
        <v>66</v>
      </c>
      <c r="M62" s="132"/>
      <c r="N62" s="132"/>
      <c r="O62" s="155"/>
      <c r="P62" s="155"/>
      <c r="Q62" s="94">
        <f>+Q63+Q65+Q67</f>
        <v>76360000</v>
      </c>
      <c r="R62" s="92"/>
      <c r="S62" s="95"/>
      <c r="T62" s="528"/>
      <c r="U62" s="556"/>
      <c r="V62" s="557"/>
      <c r="W62" s="478"/>
      <c r="X62" s="478"/>
      <c r="Y62" s="478"/>
      <c r="Z62" s="478"/>
      <c r="AA62" s="478"/>
      <c r="AB62" s="478"/>
    </row>
    <row r="63" spans="2:28" ht="15" customHeight="1" x14ac:dyDescent="0.2">
      <c r="B63" s="397" t="s">
        <v>7</v>
      </c>
      <c r="C63" s="395" t="s">
        <v>20</v>
      </c>
      <c r="D63" s="395" t="s">
        <v>20</v>
      </c>
      <c r="E63" s="395" t="s">
        <v>8</v>
      </c>
      <c r="F63" s="395" t="s">
        <v>11</v>
      </c>
      <c r="G63" s="395" t="s">
        <v>14</v>
      </c>
      <c r="H63" s="395" t="s">
        <v>8</v>
      </c>
      <c r="I63" s="395"/>
      <c r="J63" s="404"/>
      <c r="K63" s="397"/>
      <c r="L63" s="403" t="s">
        <v>67</v>
      </c>
      <c r="M63" s="133"/>
      <c r="N63" s="133"/>
      <c r="O63" s="156"/>
      <c r="P63" s="156"/>
      <c r="Q63" s="5">
        <f>SUM(Q64:Q64)</f>
        <v>15000000</v>
      </c>
      <c r="R63" s="181"/>
      <c r="S63" s="396"/>
      <c r="T63" s="530"/>
      <c r="U63" s="556"/>
      <c r="V63" s="557"/>
      <c r="W63" s="477"/>
      <c r="X63" s="477"/>
      <c r="Y63" s="477"/>
      <c r="Z63" s="477"/>
      <c r="AA63" s="477"/>
      <c r="AB63" s="477"/>
    </row>
    <row r="64" spans="2:28" ht="46.5" customHeight="1" x14ac:dyDescent="0.2">
      <c r="B64" s="623"/>
      <c r="C64" s="624"/>
      <c r="D64" s="624"/>
      <c r="E64" s="624"/>
      <c r="F64" s="624"/>
      <c r="G64" s="624"/>
      <c r="H64" s="624"/>
      <c r="I64" s="624"/>
      <c r="J64" s="624"/>
      <c r="K64" s="438">
        <v>25172500</v>
      </c>
      <c r="L64" s="441" t="s">
        <v>574</v>
      </c>
      <c r="M64" s="134">
        <v>44722</v>
      </c>
      <c r="N64" s="134" t="s">
        <v>575</v>
      </c>
      <c r="O64" s="157" t="s">
        <v>576</v>
      </c>
      <c r="P64" s="157" t="s">
        <v>642</v>
      </c>
      <c r="Q64" s="101">
        <v>15000000</v>
      </c>
      <c r="R64" s="443"/>
      <c r="S64" s="439"/>
      <c r="T64" s="521" t="s">
        <v>572</v>
      </c>
      <c r="U64" s="556"/>
      <c r="V64" s="557"/>
      <c r="W64" s="477"/>
      <c r="X64" s="477"/>
      <c r="Y64" s="477"/>
      <c r="Z64" s="477">
        <f t="shared" ref="Z64" si="53">+Q64-X64</f>
        <v>15000000</v>
      </c>
      <c r="AA64" s="477">
        <f t="shared" ref="AA64" si="54">+X64-Y64</f>
        <v>0</v>
      </c>
      <c r="AB64" s="477">
        <f t="shared" ref="AB64" si="55">+Q64+AA64-Y64</f>
        <v>15000000</v>
      </c>
    </row>
    <row r="65" spans="2:73" ht="15" customHeight="1" x14ac:dyDescent="0.2">
      <c r="B65" s="397" t="s">
        <v>7</v>
      </c>
      <c r="C65" s="395" t="s">
        <v>20</v>
      </c>
      <c r="D65" s="395" t="s">
        <v>20</v>
      </c>
      <c r="E65" s="395" t="s">
        <v>8</v>
      </c>
      <c r="F65" s="395" t="s">
        <v>11</v>
      </c>
      <c r="G65" s="395" t="s">
        <v>14</v>
      </c>
      <c r="H65" s="395" t="s">
        <v>20</v>
      </c>
      <c r="I65" s="395"/>
      <c r="J65" s="404"/>
      <c r="K65" s="397"/>
      <c r="L65" s="403" t="s">
        <v>68</v>
      </c>
      <c r="M65" s="133"/>
      <c r="N65" s="133"/>
      <c r="O65" s="156"/>
      <c r="P65" s="156"/>
      <c r="Q65" s="5">
        <f>SUM(Q66:Q66)</f>
        <v>55000000</v>
      </c>
      <c r="R65" s="181"/>
      <c r="S65" s="396"/>
      <c r="T65" s="530"/>
      <c r="U65" s="556"/>
      <c r="V65" s="557"/>
      <c r="W65" s="477"/>
      <c r="X65" s="477"/>
      <c r="Y65" s="477"/>
      <c r="Z65" s="477"/>
      <c r="AA65" s="477"/>
      <c r="AB65" s="477"/>
    </row>
    <row r="66" spans="2:73" ht="120" x14ac:dyDescent="0.2">
      <c r="B66" s="623"/>
      <c r="C66" s="624"/>
      <c r="D66" s="624"/>
      <c r="E66" s="624"/>
      <c r="F66" s="624"/>
      <c r="G66" s="624"/>
      <c r="H66" s="624"/>
      <c r="I66" s="624"/>
      <c r="J66" s="624"/>
      <c r="K66" s="177" t="s">
        <v>537</v>
      </c>
      <c r="L66" s="400" t="s">
        <v>279</v>
      </c>
      <c r="M66" s="134">
        <v>44696</v>
      </c>
      <c r="N66" s="134" t="s">
        <v>538</v>
      </c>
      <c r="O66" s="157" t="s">
        <v>542</v>
      </c>
      <c r="P66" s="157" t="s">
        <v>535</v>
      </c>
      <c r="Q66" s="101">
        <v>55000000</v>
      </c>
      <c r="R66" s="443" t="s">
        <v>386</v>
      </c>
      <c r="S66" s="399"/>
      <c r="T66" s="521" t="s">
        <v>536</v>
      </c>
      <c r="U66" s="556"/>
      <c r="V66" s="557"/>
      <c r="W66" s="477"/>
      <c r="X66" s="477"/>
      <c r="Y66" s="477"/>
      <c r="Z66" s="477">
        <f t="shared" ref="Z66" si="56">+Q66-X66</f>
        <v>55000000</v>
      </c>
      <c r="AA66" s="477">
        <f t="shared" ref="AA66" si="57">+X66-Y66</f>
        <v>0</v>
      </c>
      <c r="AB66" s="477">
        <f t="shared" ref="AB66" si="58">+Q66+AA66-Y66</f>
        <v>55000000</v>
      </c>
    </row>
    <row r="67" spans="2:73" ht="15" customHeight="1" x14ac:dyDescent="0.2">
      <c r="B67" s="397" t="s">
        <v>7</v>
      </c>
      <c r="C67" s="395" t="s">
        <v>20</v>
      </c>
      <c r="D67" s="395" t="s">
        <v>20</v>
      </c>
      <c r="E67" s="395" t="s">
        <v>8</v>
      </c>
      <c r="F67" s="395" t="s">
        <v>11</v>
      </c>
      <c r="G67" s="395" t="s">
        <v>14</v>
      </c>
      <c r="H67" s="395" t="s">
        <v>31</v>
      </c>
      <c r="I67" s="395"/>
      <c r="J67" s="404"/>
      <c r="K67" s="12"/>
      <c r="L67" s="411" t="s">
        <v>459</v>
      </c>
      <c r="M67" s="136"/>
      <c r="N67" s="136"/>
      <c r="O67" s="159"/>
      <c r="P67" s="159"/>
      <c r="Q67" s="8">
        <f>SUM(Q68:Q68)</f>
        <v>6360000</v>
      </c>
      <c r="R67" s="7"/>
      <c r="S67" s="108"/>
      <c r="T67" s="532"/>
      <c r="U67" s="556"/>
      <c r="V67" s="557"/>
      <c r="W67" s="477"/>
      <c r="X67" s="477"/>
      <c r="Y67" s="477"/>
      <c r="Z67" s="477"/>
      <c r="AA67" s="477"/>
      <c r="AB67" s="477"/>
    </row>
    <row r="68" spans="2:73" ht="60" x14ac:dyDescent="0.2">
      <c r="B68" s="117"/>
      <c r="C68" s="118"/>
      <c r="D68" s="118"/>
      <c r="E68" s="118"/>
      <c r="F68" s="118"/>
      <c r="G68" s="118"/>
      <c r="H68" s="118"/>
      <c r="I68" s="118"/>
      <c r="J68" s="118"/>
      <c r="K68" s="440" t="s">
        <v>377</v>
      </c>
      <c r="L68" s="441" t="s">
        <v>525</v>
      </c>
      <c r="M68" s="134">
        <v>44607</v>
      </c>
      <c r="N68" s="134" t="s">
        <v>467</v>
      </c>
      <c r="O68" s="157" t="s">
        <v>518</v>
      </c>
      <c r="P68" s="157" t="s">
        <v>336</v>
      </c>
      <c r="Q68" s="101">
        <f>4200000+2160000</f>
        <v>6360000</v>
      </c>
      <c r="R68" s="401" t="s">
        <v>350</v>
      </c>
      <c r="S68" s="399"/>
      <c r="T68" s="521" t="s">
        <v>516</v>
      </c>
      <c r="U68" s="556">
        <v>27722</v>
      </c>
      <c r="V68" s="557">
        <v>44631</v>
      </c>
      <c r="W68" s="477">
        <v>6360000</v>
      </c>
      <c r="X68" s="477">
        <v>6360000</v>
      </c>
      <c r="Y68" s="477"/>
      <c r="Z68" s="477">
        <f t="shared" ref="Z68" si="59">+Q68-X68</f>
        <v>0</v>
      </c>
      <c r="AA68" s="477">
        <f t="shared" ref="AA68" si="60">+X68-Y68</f>
        <v>6360000</v>
      </c>
      <c r="AB68" s="477">
        <f t="shared" ref="AB68" si="61">+Q68+AA68-Y68</f>
        <v>12720000</v>
      </c>
    </row>
    <row r="69" spans="2:73" ht="15" customHeight="1" x14ac:dyDescent="0.2">
      <c r="B69" s="91" t="s">
        <v>7</v>
      </c>
      <c r="C69" s="92" t="s">
        <v>20</v>
      </c>
      <c r="D69" s="92" t="s">
        <v>20</v>
      </c>
      <c r="E69" s="92" t="s">
        <v>8</v>
      </c>
      <c r="F69" s="92" t="s">
        <v>11</v>
      </c>
      <c r="G69" s="92" t="s">
        <v>16</v>
      </c>
      <c r="H69" s="92"/>
      <c r="I69" s="92"/>
      <c r="J69" s="196"/>
      <c r="K69" s="91"/>
      <c r="L69" s="410" t="s">
        <v>188</v>
      </c>
      <c r="M69" s="132"/>
      <c r="N69" s="132"/>
      <c r="O69" s="155"/>
      <c r="P69" s="155"/>
      <c r="Q69" s="94">
        <f>+Q70</f>
        <v>29800000</v>
      </c>
      <c r="R69" s="92"/>
      <c r="S69" s="95"/>
      <c r="T69" s="528"/>
      <c r="U69" s="556"/>
      <c r="V69" s="557"/>
      <c r="W69" s="477"/>
      <c r="X69" s="477"/>
      <c r="Y69" s="477"/>
      <c r="Z69" s="477"/>
      <c r="AA69" s="477"/>
      <c r="AB69" s="477"/>
    </row>
    <row r="70" spans="2:73" ht="15.6" customHeight="1" x14ac:dyDescent="0.2">
      <c r="B70" s="12" t="s">
        <v>7</v>
      </c>
      <c r="C70" s="7" t="s">
        <v>20</v>
      </c>
      <c r="D70" s="7" t="s">
        <v>20</v>
      </c>
      <c r="E70" s="7" t="s">
        <v>8</v>
      </c>
      <c r="F70" s="7" t="s">
        <v>11</v>
      </c>
      <c r="G70" s="395" t="s">
        <v>16</v>
      </c>
      <c r="H70" s="395" t="s">
        <v>31</v>
      </c>
      <c r="I70" s="7"/>
      <c r="J70" s="198"/>
      <c r="K70" s="12"/>
      <c r="L70" s="411" t="s">
        <v>189</v>
      </c>
      <c r="M70" s="136"/>
      <c r="N70" s="136"/>
      <c r="O70" s="159"/>
      <c r="P70" s="159"/>
      <c r="Q70" s="8">
        <f>SUM(Q71:Q71)</f>
        <v>29800000</v>
      </c>
      <c r="R70" s="7"/>
      <c r="S70" s="108"/>
      <c r="T70" s="532"/>
      <c r="U70" s="556"/>
      <c r="V70" s="557"/>
      <c r="W70" s="477"/>
      <c r="X70" s="477"/>
      <c r="Y70" s="477"/>
      <c r="Z70" s="477"/>
      <c r="AA70" s="477"/>
      <c r="AB70" s="477"/>
    </row>
    <row r="71" spans="2:73" s="241" customFormat="1" x14ac:dyDescent="0.25">
      <c r="B71" s="625"/>
      <c r="C71" s="626"/>
      <c r="D71" s="626"/>
      <c r="E71" s="626"/>
      <c r="F71" s="626"/>
      <c r="G71" s="626"/>
      <c r="H71" s="626"/>
      <c r="I71" s="626"/>
      <c r="J71" s="626"/>
      <c r="K71" s="438"/>
      <c r="L71" s="441" t="s">
        <v>275</v>
      </c>
      <c r="M71" s="134" t="s">
        <v>375</v>
      </c>
      <c r="N71" s="134" t="s">
        <v>375</v>
      </c>
      <c r="O71" s="134" t="s">
        <v>375</v>
      </c>
      <c r="P71" s="134" t="s">
        <v>375</v>
      </c>
      <c r="Q71" s="101">
        <v>29800000</v>
      </c>
      <c r="R71" s="443"/>
      <c r="S71" s="521"/>
      <c r="T71" s="521"/>
      <c r="U71" s="562">
        <v>19722</v>
      </c>
      <c r="V71" s="567">
        <v>44608</v>
      </c>
      <c r="W71" s="491">
        <v>6000000</v>
      </c>
      <c r="X71" s="491">
        <v>6000000</v>
      </c>
      <c r="Y71" s="491"/>
      <c r="Z71" s="477">
        <f t="shared" ref="Z71" si="62">+Q71-X71</f>
        <v>23800000</v>
      </c>
      <c r="AA71" s="477">
        <f t="shared" ref="AA71" si="63">+X71-Y71</f>
        <v>6000000</v>
      </c>
      <c r="AB71" s="477">
        <f t="shared" ref="AB71" si="64">+Q71+AA71-Y71</f>
        <v>35800000</v>
      </c>
    </row>
    <row r="72" spans="2:73" ht="15" customHeight="1" x14ac:dyDescent="0.2">
      <c r="B72" s="13" t="s">
        <v>7</v>
      </c>
      <c r="C72" s="14" t="s">
        <v>20</v>
      </c>
      <c r="D72" s="14" t="s">
        <v>20</v>
      </c>
      <c r="E72" s="14" t="s">
        <v>8</v>
      </c>
      <c r="F72" s="14" t="s">
        <v>12</v>
      </c>
      <c r="G72" s="14"/>
      <c r="H72" s="14"/>
      <c r="I72" s="14"/>
      <c r="J72" s="195"/>
      <c r="K72" s="13"/>
      <c r="L72" s="409" t="s">
        <v>73</v>
      </c>
      <c r="M72" s="131"/>
      <c r="N72" s="131"/>
      <c r="O72" s="154"/>
      <c r="P72" s="154"/>
      <c r="Q72" s="16">
        <f>Q78+Q81+Q88+Q73+Q75</f>
        <v>567955000</v>
      </c>
      <c r="R72" s="14"/>
      <c r="S72" s="17"/>
      <c r="T72" s="527"/>
      <c r="U72" s="556"/>
      <c r="V72" s="557"/>
      <c r="W72" s="478"/>
      <c r="X72" s="478"/>
      <c r="Y72" s="478"/>
      <c r="Z72" s="478"/>
      <c r="AA72" s="478"/>
      <c r="AB72" s="478"/>
    </row>
    <row r="73" spans="2:73" s="285" customFormat="1" ht="15" customHeight="1" x14ac:dyDescent="0.2">
      <c r="B73" s="91" t="s">
        <v>7</v>
      </c>
      <c r="C73" s="92" t="s">
        <v>20</v>
      </c>
      <c r="D73" s="92" t="s">
        <v>20</v>
      </c>
      <c r="E73" s="92" t="s">
        <v>8</v>
      </c>
      <c r="F73" s="92" t="s">
        <v>12</v>
      </c>
      <c r="G73" s="511" t="s">
        <v>10</v>
      </c>
      <c r="H73" s="92"/>
      <c r="I73" s="92"/>
      <c r="J73" s="196"/>
      <c r="K73" s="91"/>
      <c r="L73" s="410" t="s">
        <v>74</v>
      </c>
      <c r="M73" s="132"/>
      <c r="N73" s="132"/>
      <c r="O73" s="155"/>
      <c r="P73" s="155"/>
      <c r="Q73" s="94">
        <f>+Q74</f>
        <v>50400000</v>
      </c>
      <c r="R73" s="92"/>
      <c r="S73" s="95"/>
      <c r="T73" s="528"/>
      <c r="U73" s="561"/>
      <c r="V73" s="566"/>
      <c r="W73" s="489"/>
      <c r="X73" s="489"/>
      <c r="Y73" s="489"/>
      <c r="Z73" s="489"/>
      <c r="AA73" s="489"/>
      <c r="AB73" s="489"/>
    </row>
    <row r="74" spans="2:73" s="240" customFormat="1" ht="60" x14ac:dyDescent="0.2">
      <c r="B74" s="438"/>
      <c r="C74" s="443"/>
      <c r="D74" s="443"/>
      <c r="E74" s="443"/>
      <c r="F74" s="443"/>
      <c r="G74" s="443"/>
      <c r="H74" s="443"/>
      <c r="I74" s="443"/>
      <c r="J74" s="351"/>
      <c r="K74" s="440" t="s">
        <v>298</v>
      </c>
      <c r="L74" s="551" t="s">
        <v>466</v>
      </c>
      <c r="M74" s="134" t="s">
        <v>503</v>
      </c>
      <c r="N74" s="157" t="s">
        <v>331</v>
      </c>
      <c r="O74" s="157" t="s">
        <v>468</v>
      </c>
      <c r="P74" s="157" t="s">
        <v>535</v>
      </c>
      <c r="Q74" s="101">
        <v>50400000</v>
      </c>
      <c r="R74" s="443" t="s">
        <v>386</v>
      </c>
      <c r="S74" s="439"/>
      <c r="T74" s="521" t="s">
        <v>475</v>
      </c>
      <c r="U74" s="562"/>
      <c r="V74" s="567"/>
      <c r="W74" s="492"/>
      <c r="X74" s="492"/>
      <c r="Y74" s="492"/>
      <c r="Z74" s="477">
        <f t="shared" ref="Z74" si="65">+Q74-X74</f>
        <v>50400000</v>
      </c>
      <c r="AA74" s="477">
        <f t="shared" ref="AA74" si="66">+X74-Y74</f>
        <v>0</v>
      </c>
      <c r="AB74" s="477">
        <f t="shared" ref="AB74" si="67">+Q74+AA74-Y74</f>
        <v>50400000</v>
      </c>
    </row>
    <row r="75" spans="2:73" s="431" customFormat="1" ht="15" customHeight="1" x14ac:dyDescent="0.2">
      <c r="B75" s="91" t="s">
        <v>7</v>
      </c>
      <c r="C75" s="92" t="s">
        <v>20</v>
      </c>
      <c r="D75" s="92" t="s">
        <v>20</v>
      </c>
      <c r="E75" s="92" t="s">
        <v>8</v>
      </c>
      <c r="F75" s="92" t="s">
        <v>12</v>
      </c>
      <c r="G75" s="92" t="s">
        <v>12</v>
      </c>
      <c r="H75" s="92"/>
      <c r="I75" s="92"/>
      <c r="J75" s="196"/>
      <c r="K75" s="91"/>
      <c r="L75" s="410" t="s">
        <v>39</v>
      </c>
      <c r="M75" s="132"/>
      <c r="N75" s="132"/>
      <c r="O75" s="155"/>
      <c r="P75" s="155"/>
      <c r="Q75" s="94">
        <f>+Q76</f>
        <v>2000000</v>
      </c>
      <c r="R75" s="92"/>
      <c r="S75" s="95"/>
      <c r="T75" s="244"/>
      <c r="U75" s="476"/>
      <c r="V75" s="476"/>
      <c r="W75" s="477"/>
      <c r="X75" s="477"/>
      <c r="Y75" s="477"/>
      <c r="Z75" s="477"/>
      <c r="AA75" s="477"/>
      <c r="AB75" s="477"/>
      <c r="AX75" s="285"/>
      <c r="AY75" s="285"/>
      <c r="AZ75" s="285"/>
      <c r="BA75" s="285"/>
      <c r="BB75" s="285"/>
      <c r="BC75" s="285"/>
      <c r="BD75" s="285"/>
      <c r="BE75" s="285"/>
      <c r="BF75" s="285"/>
      <c r="BG75" s="285"/>
      <c r="BH75" s="285"/>
      <c r="BI75" s="285"/>
      <c r="BJ75" s="285"/>
      <c r="BK75" s="285"/>
      <c r="BL75" s="285"/>
      <c r="BM75" s="285"/>
      <c r="BN75" s="285"/>
      <c r="BO75" s="285"/>
      <c r="BP75" s="285"/>
      <c r="BQ75" s="285"/>
      <c r="BR75" s="285"/>
      <c r="BS75" s="285"/>
      <c r="BT75" s="285"/>
      <c r="BU75" s="285"/>
    </row>
    <row r="76" spans="2:73" s="431" customFormat="1" ht="15" customHeight="1" x14ac:dyDescent="0.2">
      <c r="B76" s="434" t="s">
        <v>7</v>
      </c>
      <c r="C76" s="432" t="s">
        <v>20</v>
      </c>
      <c r="D76" s="432" t="s">
        <v>20</v>
      </c>
      <c r="E76" s="432" t="s">
        <v>8</v>
      </c>
      <c r="F76" s="432" t="s">
        <v>12</v>
      </c>
      <c r="G76" s="432" t="s">
        <v>12</v>
      </c>
      <c r="H76" s="432" t="s">
        <v>31</v>
      </c>
      <c r="I76" s="432"/>
      <c r="J76" s="444"/>
      <c r="K76" s="434"/>
      <c r="L76" s="403" t="s">
        <v>41</v>
      </c>
      <c r="M76" s="133"/>
      <c r="N76" s="133"/>
      <c r="O76" s="156"/>
      <c r="P76" s="156"/>
      <c r="Q76" s="5">
        <f>SUM(Q77)</f>
        <v>2000000</v>
      </c>
      <c r="R76" s="442"/>
      <c r="S76" s="433"/>
      <c r="T76" s="245"/>
      <c r="U76" s="476"/>
      <c r="V76" s="476"/>
      <c r="W76" s="477"/>
      <c r="X76" s="477"/>
      <c r="Y76" s="477"/>
      <c r="Z76" s="477"/>
      <c r="AA76" s="477"/>
      <c r="AB76" s="477"/>
      <c r="AX76" s="285"/>
      <c r="AY76" s="285"/>
      <c r="AZ76" s="285"/>
      <c r="BA76" s="285"/>
      <c r="BB76" s="285"/>
      <c r="BC76" s="285"/>
      <c r="BD76" s="285"/>
      <c r="BE76" s="285"/>
      <c r="BF76" s="285"/>
      <c r="BG76" s="285"/>
      <c r="BH76" s="285"/>
      <c r="BI76" s="285"/>
      <c r="BJ76" s="285"/>
      <c r="BK76" s="285"/>
      <c r="BL76" s="285"/>
      <c r="BM76" s="285"/>
      <c r="BN76" s="285"/>
      <c r="BO76" s="285"/>
      <c r="BP76" s="285"/>
      <c r="BQ76" s="285"/>
      <c r="BR76" s="285"/>
      <c r="BS76" s="285"/>
      <c r="BT76" s="285"/>
      <c r="BU76" s="285"/>
    </row>
    <row r="77" spans="2:73" s="431" customFormat="1" ht="42.75" customHeight="1" x14ac:dyDescent="0.2">
      <c r="B77" s="119"/>
      <c r="C77" s="120"/>
      <c r="D77" s="120"/>
      <c r="E77" s="120"/>
      <c r="F77" s="120"/>
      <c r="G77" s="120"/>
      <c r="H77" s="120"/>
      <c r="I77" s="120"/>
      <c r="J77" s="120"/>
      <c r="K77" s="440" t="s">
        <v>558</v>
      </c>
      <c r="L77" s="441" t="s">
        <v>751</v>
      </c>
      <c r="M77" s="134">
        <v>44352</v>
      </c>
      <c r="N77" s="134" t="s">
        <v>752</v>
      </c>
      <c r="O77" s="157" t="s">
        <v>499</v>
      </c>
      <c r="P77" s="157" t="s">
        <v>754</v>
      </c>
      <c r="Q77" s="101">
        <v>2000000</v>
      </c>
      <c r="R77" s="443" t="s">
        <v>386</v>
      </c>
      <c r="S77" s="439"/>
      <c r="T77" s="253" t="s">
        <v>753</v>
      </c>
      <c r="U77" s="556"/>
      <c r="V77" s="557"/>
      <c r="W77" s="477"/>
      <c r="X77" s="477"/>
      <c r="Y77" s="477"/>
      <c r="Z77" s="477">
        <f t="shared" ref="Z77" si="68">+Q77-X77</f>
        <v>2000000</v>
      </c>
      <c r="AA77" s="477">
        <f t="shared" ref="AA77" si="69">+X77-Y77</f>
        <v>0</v>
      </c>
      <c r="AB77" s="477">
        <f t="shared" ref="AB77" si="70">+Q77+AA77-Y77</f>
        <v>2000000</v>
      </c>
      <c r="AX77" s="285"/>
      <c r="AY77" s="285"/>
      <c r="AZ77" s="285"/>
      <c r="BA77" s="285"/>
      <c r="BB77" s="285"/>
      <c r="BC77" s="285"/>
      <c r="BD77" s="285"/>
      <c r="BE77" s="285"/>
      <c r="BF77" s="285"/>
      <c r="BG77" s="285"/>
      <c r="BH77" s="285"/>
      <c r="BI77" s="285"/>
      <c r="BJ77" s="285"/>
      <c r="BK77" s="285"/>
      <c r="BL77" s="285"/>
      <c r="BM77" s="285"/>
      <c r="BN77" s="285"/>
      <c r="BO77" s="285"/>
      <c r="BP77" s="285"/>
      <c r="BQ77" s="285"/>
      <c r="BR77" s="285"/>
      <c r="BS77" s="285"/>
      <c r="BT77" s="285"/>
      <c r="BU77" s="285"/>
    </row>
    <row r="78" spans="2:73" ht="15" customHeight="1" x14ac:dyDescent="0.2">
      <c r="B78" s="91" t="s">
        <v>7</v>
      </c>
      <c r="C78" s="92" t="s">
        <v>20</v>
      </c>
      <c r="D78" s="92" t="s">
        <v>20</v>
      </c>
      <c r="E78" s="92" t="s">
        <v>8</v>
      </c>
      <c r="F78" s="92" t="s">
        <v>12</v>
      </c>
      <c r="G78" s="92" t="s">
        <v>13</v>
      </c>
      <c r="H78" s="92"/>
      <c r="I78" s="92"/>
      <c r="J78" s="196"/>
      <c r="K78" s="91"/>
      <c r="L78" s="410" t="s">
        <v>42</v>
      </c>
      <c r="M78" s="132"/>
      <c r="N78" s="132"/>
      <c r="O78" s="155"/>
      <c r="P78" s="155"/>
      <c r="Q78" s="94">
        <f>+Q79</f>
        <v>8925000</v>
      </c>
      <c r="R78" s="92"/>
      <c r="S78" s="95"/>
      <c r="T78" s="528"/>
      <c r="U78" s="556"/>
      <c r="V78" s="557"/>
      <c r="W78" s="477"/>
      <c r="X78" s="477"/>
      <c r="Y78" s="477"/>
      <c r="Z78" s="477"/>
      <c r="AA78" s="477"/>
      <c r="AB78" s="477"/>
    </row>
    <row r="79" spans="2:73" ht="46.5" customHeight="1" x14ac:dyDescent="0.2">
      <c r="B79" s="397" t="s">
        <v>7</v>
      </c>
      <c r="C79" s="395" t="s">
        <v>20</v>
      </c>
      <c r="D79" s="395" t="s">
        <v>20</v>
      </c>
      <c r="E79" s="395" t="s">
        <v>8</v>
      </c>
      <c r="F79" s="395" t="s">
        <v>12</v>
      </c>
      <c r="G79" s="395" t="s">
        <v>13</v>
      </c>
      <c r="H79" s="395" t="s">
        <v>8</v>
      </c>
      <c r="I79" s="395"/>
      <c r="J79" s="404"/>
      <c r="K79" s="397"/>
      <c r="L79" s="403" t="s">
        <v>43</v>
      </c>
      <c r="M79" s="133"/>
      <c r="N79" s="133"/>
      <c r="O79" s="156"/>
      <c r="P79" s="156"/>
      <c r="Q79" s="5">
        <f>SUM(Q80:Q80)</f>
        <v>8925000</v>
      </c>
      <c r="R79" s="181"/>
      <c r="S79" s="396"/>
      <c r="T79" s="530"/>
      <c r="U79" s="556"/>
      <c r="V79" s="557"/>
      <c r="W79" s="477"/>
      <c r="X79" s="477"/>
      <c r="Y79" s="477"/>
      <c r="Z79" s="477"/>
      <c r="AA79" s="477"/>
      <c r="AB79" s="477"/>
    </row>
    <row r="80" spans="2:73" ht="30" x14ac:dyDescent="0.2">
      <c r="B80" s="623"/>
      <c r="C80" s="624"/>
      <c r="D80" s="624"/>
      <c r="E80" s="624"/>
      <c r="F80" s="624"/>
      <c r="G80" s="624"/>
      <c r="H80" s="624"/>
      <c r="I80" s="624"/>
      <c r="J80" s="624"/>
      <c r="K80" s="440" t="s">
        <v>300</v>
      </c>
      <c r="L80" s="441" t="s">
        <v>174</v>
      </c>
      <c r="M80" s="134">
        <v>44630</v>
      </c>
      <c r="N80" s="134" t="s">
        <v>467</v>
      </c>
      <c r="O80" s="157" t="s">
        <v>532</v>
      </c>
      <c r="P80" s="157" t="s">
        <v>318</v>
      </c>
      <c r="Q80" s="101">
        <v>8925000</v>
      </c>
      <c r="R80" s="443" t="s">
        <v>350</v>
      </c>
      <c r="S80" s="439"/>
      <c r="T80" s="521" t="s">
        <v>181</v>
      </c>
      <c r="U80" s="556">
        <v>27722</v>
      </c>
      <c r="V80" s="557">
        <v>44629</v>
      </c>
      <c r="W80" s="477">
        <v>8925000</v>
      </c>
      <c r="X80" s="477">
        <v>8925000</v>
      </c>
      <c r="Y80" s="477"/>
      <c r="Z80" s="477">
        <f t="shared" ref="Z80" si="71">+Q80-X80</f>
        <v>0</v>
      </c>
      <c r="AA80" s="477">
        <f t="shared" ref="AA80" si="72">+X80-Y80</f>
        <v>8925000</v>
      </c>
      <c r="AB80" s="477">
        <f t="shared" ref="AB80" si="73">+Q80+AA80-Y80</f>
        <v>17850000</v>
      </c>
    </row>
    <row r="81" spans="2:49" ht="15" customHeight="1" x14ac:dyDescent="0.2">
      <c r="B81" s="91" t="s">
        <v>7</v>
      </c>
      <c r="C81" s="92" t="s">
        <v>20</v>
      </c>
      <c r="D81" s="92" t="s">
        <v>20</v>
      </c>
      <c r="E81" s="92" t="s">
        <v>8</v>
      </c>
      <c r="F81" s="92" t="s">
        <v>12</v>
      </c>
      <c r="G81" s="92" t="s">
        <v>15</v>
      </c>
      <c r="H81" s="92"/>
      <c r="I81" s="92"/>
      <c r="J81" s="196"/>
      <c r="K81" s="91"/>
      <c r="L81" s="410" t="s">
        <v>48</v>
      </c>
      <c r="M81" s="132"/>
      <c r="N81" s="132"/>
      <c r="O81" s="155"/>
      <c r="P81" s="155"/>
      <c r="Q81" s="94">
        <f>SUM(Q82:Q82)</f>
        <v>494630000</v>
      </c>
      <c r="R81" s="92"/>
      <c r="S81" s="95"/>
      <c r="T81" s="528"/>
      <c r="U81" s="556"/>
      <c r="V81" s="557"/>
      <c r="W81" s="477"/>
      <c r="X81" s="477"/>
      <c r="Y81" s="477"/>
      <c r="Z81" s="477"/>
      <c r="AA81" s="477"/>
      <c r="AB81" s="477"/>
    </row>
    <row r="82" spans="2:49" ht="15" customHeight="1" x14ac:dyDescent="0.2">
      <c r="B82" s="397" t="s">
        <v>7</v>
      </c>
      <c r="C82" s="395" t="s">
        <v>20</v>
      </c>
      <c r="D82" s="395" t="s">
        <v>20</v>
      </c>
      <c r="E82" s="395" t="s">
        <v>8</v>
      </c>
      <c r="F82" s="395" t="s">
        <v>12</v>
      </c>
      <c r="G82" s="395" t="s">
        <v>15</v>
      </c>
      <c r="H82" s="395" t="s">
        <v>30</v>
      </c>
      <c r="I82" s="395"/>
      <c r="J82" s="404"/>
      <c r="K82" s="397"/>
      <c r="L82" s="403" t="s">
        <v>48</v>
      </c>
      <c r="M82" s="133"/>
      <c r="N82" s="133"/>
      <c r="O82" s="156"/>
      <c r="P82" s="156"/>
      <c r="Q82" s="5">
        <f>SUM(Q83:Q87)</f>
        <v>494630000</v>
      </c>
      <c r="R82" s="181"/>
      <c r="S82" s="396"/>
      <c r="T82" s="530"/>
      <c r="U82" s="556"/>
      <c r="V82" s="557"/>
      <c r="W82" s="477"/>
      <c r="X82" s="477"/>
      <c r="Y82" s="477"/>
      <c r="Z82" s="477"/>
      <c r="AA82" s="477"/>
      <c r="AB82" s="477"/>
    </row>
    <row r="83" spans="2:49" ht="30" x14ac:dyDescent="0.2">
      <c r="B83" s="623"/>
      <c r="C83" s="624"/>
      <c r="D83" s="624"/>
      <c r="E83" s="624"/>
      <c r="F83" s="624"/>
      <c r="G83" s="624"/>
      <c r="H83" s="624"/>
      <c r="I83" s="624"/>
      <c r="J83" s="624"/>
      <c r="K83" s="440" t="s">
        <v>302</v>
      </c>
      <c r="L83" s="441" t="s">
        <v>172</v>
      </c>
      <c r="M83" s="134">
        <v>44814</v>
      </c>
      <c r="N83" s="134" t="s">
        <v>584</v>
      </c>
      <c r="O83" s="157" t="s">
        <v>468</v>
      </c>
      <c r="P83" s="157" t="s">
        <v>318</v>
      </c>
      <c r="Q83" s="101">
        <v>26250000</v>
      </c>
      <c r="R83" s="443" t="s">
        <v>350</v>
      </c>
      <c r="S83" s="439"/>
      <c r="T83" s="521" t="s">
        <v>181</v>
      </c>
      <c r="U83" s="556"/>
      <c r="V83" s="557"/>
      <c r="W83" s="477"/>
      <c r="X83" s="477"/>
      <c r="Y83" s="477"/>
      <c r="Z83" s="477">
        <f t="shared" ref="Z83:Z87" si="74">+Q83-X83</f>
        <v>26250000</v>
      </c>
      <c r="AA83" s="477">
        <f t="shared" ref="AA83:AA87" si="75">+X83-Y83</f>
        <v>0</v>
      </c>
      <c r="AB83" s="477">
        <f t="shared" ref="AB83:AB87" si="76">+Q83+AA83-Y83</f>
        <v>26250000</v>
      </c>
    </row>
    <row r="84" spans="2:49" s="431" customFormat="1" ht="30" x14ac:dyDescent="0.2">
      <c r="B84" s="625"/>
      <c r="C84" s="626"/>
      <c r="D84" s="626"/>
      <c r="E84" s="626"/>
      <c r="F84" s="626"/>
      <c r="G84" s="626"/>
      <c r="H84" s="626"/>
      <c r="I84" s="626"/>
      <c r="J84" s="626"/>
      <c r="K84" s="438">
        <v>43231500</v>
      </c>
      <c r="L84" s="441" t="s">
        <v>173</v>
      </c>
      <c r="M84" s="134">
        <v>44635</v>
      </c>
      <c r="N84" s="134" t="s">
        <v>467</v>
      </c>
      <c r="O84" s="157" t="s">
        <v>468</v>
      </c>
      <c r="P84" s="157" t="s">
        <v>318</v>
      </c>
      <c r="Q84" s="101">
        <v>26250000</v>
      </c>
      <c r="R84" s="443"/>
      <c r="S84" s="439"/>
      <c r="T84" s="521" t="s">
        <v>181</v>
      </c>
      <c r="U84" s="556">
        <v>27322</v>
      </c>
      <c r="V84" s="557">
        <v>44629</v>
      </c>
      <c r="W84" s="477">
        <v>26250000</v>
      </c>
      <c r="X84" s="477">
        <v>26250000</v>
      </c>
      <c r="Y84" s="477"/>
      <c r="Z84" s="477">
        <f t="shared" si="74"/>
        <v>0</v>
      </c>
      <c r="AA84" s="477">
        <f t="shared" si="75"/>
        <v>26250000</v>
      </c>
      <c r="AB84" s="477">
        <f t="shared" si="76"/>
        <v>52500000</v>
      </c>
    </row>
    <row r="85" spans="2:49" s="431" customFormat="1" ht="45" x14ac:dyDescent="0.2">
      <c r="B85" s="625"/>
      <c r="C85" s="626"/>
      <c r="D85" s="626"/>
      <c r="E85" s="626"/>
      <c r="F85" s="626"/>
      <c r="G85" s="626"/>
      <c r="H85" s="626"/>
      <c r="I85" s="626"/>
      <c r="J85" s="626"/>
      <c r="K85" s="438">
        <v>43231500</v>
      </c>
      <c r="L85" s="441" t="s">
        <v>229</v>
      </c>
      <c r="M85" s="134">
        <v>44656</v>
      </c>
      <c r="N85" s="134" t="s">
        <v>528</v>
      </c>
      <c r="O85" s="157" t="s">
        <v>468</v>
      </c>
      <c r="P85" s="157" t="s">
        <v>642</v>
      </c>
      <c r="Q85" s="101">
        <v>99750000</v>
      </c>
      <c r="R85" s="443"/>
      <c r="S85" s="439"/>
      <c r="T85" s="521" t="s">
        <v>181</v>
      </c>
      <c r="U85" s="556">
        <v>36822</v>
      </c>
      <c r="V85" s="557">
        <v>44658</v>
      </c>
      <c r="W85" s="477">
        <v>99750000</v>
      </c>
      <c r="X85" s="477">
        <v>99750000</v>
      </c>
      <c r="Y85" s="477"/>
      <c r="Z85" s="477">
        <f t="shared" si="74"/>
        <v>0</v>
      </c>
      <c r="AA85" s="477">
        <f t="shared" si="75"/>
        <v>99750000</v>
      </c>
      <c r="AB85" s="477">
        <f t="shared" si="76"/>
        <v>199500000</v>
      </c>
    </row>
    <row r="86" spans="2:49" s="431" customFormat="1" ht="45" x14ac:dyDescent="0.2">
      <c r="B86" s="625"/>
      <c r="C86" s="626"/>
      <c r="D86" s="626"/>
      <c r="E86" s="626"/>
      <c r="F86" s="626"/>
      <c r="G86" s="626"/>
      <c r="H86" s="626"/>
      <c r="I86" s="626"/>
      <c r="J86" s="626"/>
      <c r="K86" s="438">
        <v>43231500</v>
      </c>
      <c r="L86" s="496" t="s">
        <v>566</v>
      </c>
      <c r="M86" s="134">
        <v>44656</v>
      </c>
      <c r="N86" s="134" t="s">
        <v>528</v>
      </c>
      <c r="O86" s="157" t="s">
        <v>586</v>
      </c>
      <c r="P86" s="157" t="s">
        <v>642</v>
      </c>
      <c r="Q86" s="101">
        <v>32130000</v>
      </c>
      <c r="R86" s="443"/>
      <c r="S86" s="439"/>
      <c r="T86" s="521" t="s">
        <v>181</v>
      </c>
      <c r="U86" s="556">
        <v>36922</v>
      </c>
      <c r="V86" s="557">
        <v>44658</v>
      </c>
      <c r="W86" s="477">
        <v>32130000</v>
      </c>
      <c r="X86" s="477">
        <v>32130000</v>
      </c>
      <c r="Y86" s="477"/>
      <c r="Z86" s="477">
        <f t="shared" si="74"/>
        <v>0</v>
      </c>
      <c r="AA86" s="477">
        <f t="shared" si="75"/>
        <v>32130000</v>
      </c>
      <c r="AB86" s="477">
        <f t="shared" si="76"/>
        <v>64260000</v>
      </c>
    </row>
    <row r="87" spans="2:49" s="431" customFormat="1" ht="45" x14ac:dyDescent="0.2">
      <c r="B87" s="625"/>
      <c r="C87" s="626"/>
      <c r="D87" s="626"/>
      <c r="E87" s="626"/>
      <c r="F87" s="626"/>
      <c r="G87" s="626"/>
      <c r="H87" s="626"/>
      <c r="I87" s="626"/>
      <c r="J87" s="626"/>
      <c r="K87" s="438">
        <v>43231500</v>
      </c>
      <c r="L87" s="496" t="s">
        <v>660</v>
      </c>
      <c r="M87" s="134">
        <v>44576</v>
      </c>
      <c r="N87" s="134" t="s">
        <v>585</v>
      </c>
      <c r="O87" s="157" t="s">
        <v>542</v>
      </c>
      <c r="P87" s="157" t="s">
        <v>661</v>
      </c>
      <c r="Q87" s="101">
        <v>310250000</v>
      </c>
      <c r="R87" s="443"/>
      <c r="S87" s="439"/>
      <c r="T87" s="521"/>
      <c r="U87" s="556">
        <v>1022</v>
      </c>
      <c r="V87" s="557">
        <v>44572</v>
      </c>
      <c r="W87" s="477">
        <v>113900000</v>
      </c>
      <c r="X87" s="477">
        <v>310250000</v>
      </c>
      <c r="Y87" s="477">
        <v>308430150</v>
      </c>
      <c r="Z87" s="477">
        <f t="shared" si="74"/>
        <v>0</v>
      </c>
      <c r="AA87" s="477">
        <f t="shared" si="75"/>
        <v>1819850</v>
      </c>
      <c r="AB87" s="477">
        <f t="shared" si="76"/>
        <v>3639700</v>
      </c>
    </row>
    <row r="88" spans="2:49" ht="30" x14ac:dyDescent="0.2">
      <c r="B88" s="91" t="s">
        <v>7</v>
      </c>
      <c r="C88" s="92" t="s">
        <v>20</v>
      </c>
      <c r="D88" s="92" t="s">
        <v>20</v>
      </c>
      <c r="E88" s="92" t="s">
        <v>8</v>
      </c>
      <c r="F88" s="92" t="s">
        <v>12</v>
      </c>
      <c r="G88" s="92" t="s">
        <v>16</v>
      </c>
      <c r="H88" s="92"/>
      <c r="I88" s="92"/>
      <c r="J88" s="196"/>
      <c r="K88" s="91"/>
      <c r="L88" s="410" t="s">
        <v>143</v>
      </c>
      <c r="M88" s="132"/>
      <c r="N88" s="132"/>
      <c r="O88" s="155"/>
      <c r="P88" s="155"/>
      <c r="Q88" s="94">
        <f>+Q89+Q91</f>
        <v>12000000</v>
      </c>
      <c r="R88" s="92"/>
      <c r="S88" s="95"/>
      <c r="T88" s="528"/>
      <c r="U88" s="556"/>
      <c r="V88" s="557"/>
      <c r="W88" s="477"/>
      <c r="X88" s="477"/>
      <c r="Y88" s="477"/>
      <c r="Z88" s="477"/>
      <c r="AA88" s="477"/>
      <c r="AB88" s="477"/>
    </row>
    <row r="89" spans="2:49" ht="60" customHeight="1" x14ac:dyDescent="0.2">
      <c r="B89" s="397" t="s">
        <v>7</v>
      </c>
      <c r="C89" s="395" t="s">
        <v>20</v>
      </c>
      <c r="D89" s="395" t="s">
        <v>20</v>
      </c>
      <c r="E89" s="395" t="s">
        <v>8</v>
      </c>
      <c r="F89" s="395" t="s">
        <v>12</v>
      </c>
      <c r="G89" s="395" t="s">
        <v>16</v>
      </c>
      <c r="H89" s="395" t="s">
        <v>20</v>
      </c>
      <c r="I89" s="395"/>
      <c r="J89" s="404"/>
      <c r="K89" s="397"/>
      <c r="L89" s="403" t="s">
        <v>141</v>
      </c>
      <c r="M89" s="133"/>
      <c r="N89" s="133"/>
      <c r="O89" s="156"/>
      <c r="P89" s="156"/>
      <c r="Q89" s="5">
        <f>+Q90</f>
        <v>0</v>
      </c>
      <c r="R89" s="181"/>
      <c r="S89" s="396"/>
      <c r="T89" s="530"/>
      <c r="U89" s="556"/>
      <c r="V89" s="557"/>
      <c r="W89" s="477"/>
      <c r="X89" s="477"/>
      <c r="Y89" s="477"/>
      <c r="Z89" s="477"/>
      <c r="AA89" s="477"/>
      <c r="AB89" s="477"/>
    </row>
    <row r="90" spans="2:49" x14ac:dyDescent="0.2">
      <c r="B90" s="623"/>
      <c r="C90" s="624"/>
      <c r="D90" s="624"/>
      <c r="E90" s="624"/>
      <c r="F90" s="624"/>
      <c r="G90" s="624"/>
      <c r="H90" s="624"/>
      <c r="I90" s="624"/>
      <c r="J90" s="624"/>
      <c r="K90" s="438">
        <v>81141500</v>
      </c>
      <c r="L90" s="441" t="s">
        <v>259</v>
      </c>
      <c r="M90" s="134">
        <v>44682</v>
      </c>
      <c r="N90" s="134" t="s">
        <v>620</v>
      </c>
      <c r="O90" s="157" t="s">
        <v>294</v>
      </c>
      <c r="P90" s="157" t="s">
        <v>318</v>
      </c>
      <c r="Q90" s="101">
        <v>0</v>
      </c>
      <c r="R90" s="443"/>
      <c r="S90" s="439"/>
      <c r="T90" s="521" t="s">
        <v>268</v>
      </c>
      <c r="U90" s="556"/>
      <c r="V90" s="557"/>
      <c r="W90" s="477"/>
      <c r="X90" s="477"/>
      <c r="Y90" s="477"/>
      <c r="Z90" s="477">
        <f t="shared" ref="Z90" si="77">+Q90-X90</f>
        <v>0</v>
      </c>
      <c r="AA90" s="477">
        <f t="shared" ref="AA90" si="78">+X90-Y90</f>
        <v>0</v>
      </c>
      <c r="AB90" s="477">
        <f t="shared" ref="AB90" si="79">+Q90+AA90-Y90</f>
        <v>0</v>
      </c>
    </row>
    <row r="91" spans="2:49" ht="28.5" customHeight="1" x14ac:dyDescent="0.2">
      <c r="B91" s="397" t="s">
        <v>7</v>
      </c>
      <c r="C91" s="395" t="s">
        <v>20</v>
      </c>
      <c r="D91" s="395" t="s">
        <v>20</v>
      </c>
      <c r="E91" s="395" t="s">
        <v>8</v>
      </c>
      <c r="F91" s="395" t="s">
        <v>12</v>
      </c>
      <c r="G91" s="395" t="s">
        <v>16</v>
      </c>
      <c r="H91" s="395" t="s">
        <v>23</v>
      </c>
      <c r="I91" s="395"/>
      <c r="J91" s="404"/>
      <c r="K91" s="397"/>
      <c r="L91" s="403" t="s">
        <v>142</v>
      </c>
      <c r="M91" s="133"/>
      <c r="N91" s="133"/>
      <c r="O91" s="156"/>
      <c r="P91" s="156"/>
      <c r="Q91" s="5">
        <f>+Q92</f>
        <v>12000000</v>
      </c>
      <c r="R91" s="181"/>
      <c r="S91" s="396"/>
      <c r="T91" s="530"/>
      <c r="U91" s="556"/>
      <c r="V91" s="557"/>
      <c r="W91" s="478"/>
      <c r="X91" s="478"/>
      <c r="Y91" s="478"/>
      <c r="Z91" s="478"/>
      <c r="AA91" s="478"/>
      <c r="AB91" s="478"/>
    </row>
    <row r="92" spans="2:49" s="394" customFormat="1" ht="120" x14ac:dyDescent="0.2">
      <c r="B92" s="119"/>
      <c r="C92" s="120"/>
      <c r="D92" s="120"/>
      <c r="E92" s="120"/>
      <c r="F92" s="120"/>
      <c r="G92" s="120"/>
      <c r="H92" s="120"/>
      <c r="I92" s="120"/>
      <c r="J92" s="428"/>
      <c r="K92" s="177" t="s">
        <v>537</v>
      </c>
      <c r="L92" s="400" t="s">
        <v>280</v>
      </c>
      <c r="M92" s="134" t="s">
        <v>533</v>
      </c>
      <c r="N92" s="134" t="s">
        <v>538</v>
      </c>
      <c r="O92" s="157" t="s">
        <v>542</v>
      </c>
      <c r="P92" s="157" t="s">
        <v>535</v>
      </c>
      <c r="Q92" s="101">
        <v>12000000</v>
      </c>
      <c r="R92" s="443"/>
      <c r="S92" s="399"/>
      <c r="T92" s="521" t="s">
        <v>616</v>
      </c>
      <c r="U92" s="556"/>
      <c r="V92" s="557"/>
      <c r="W92" s="477"/>
      <c r="X92" s="477"/>
      <c r="Y92" s="477"/>
      <c r="Z92" s="477">
        <f t="shared" ref="Z92" si="80">+Q92-X92</f>
        <v>12000000</v>
      </c>
      <c r="AA92" s="477">
        <f t="shared" ref="AA92" si="81">+X92-Y92</f>
        <v>0</v>
      </c>
      <c r="AB92" s="477">
        <f t="shared" ref="AB92" si="82">+Q92+AA92-Y92</f>
        <v>12000000</v>
      </c>
      <c r="AD92" s="431"/>
      <c r="AE92" s="431"/>
      <c r="AF92" s="431"/>
      <c r="AG92" s="431"/>
      <c r="AH92" s="431"/>
      <c r="AI92" s="431"/>
      <c r="AJ92" s="431"/>
      <c r="AK92" s="431"/>
      <c r="AL92" s="431"/>
      <c r="AM92" s="431"/>
      <c r="AN92" s="431"/>
      <c r="AO92" s="431"/>
      <c r="AP92" s="431"/>
      <c r="AQ92" s="431"/>
      <c r="AR92" s="431"/>
      <c r="AS92" s="431"/>
      <c r="AT92" s="431"/>
      <c r="AU92" s="431"/>
      <c r="AV92" s="431"/>
      <c r="AW92" s="431"/>
    </row>
    <row r="93" spans="2:49" ht="15" customHeight="1" x14ac:dyDescent="0.2">
      <c r="B93" s="41" t="s">
        <v>7</v>
      </c>
      <c r="C93" s="42" t="s">
        <v>20</v>
      </c>
      <c r="D93" s="42" t="s">
        <v>20</v>
      </c>
      <c r="E93" s="42" t="s">
        <v>20</v>
      </c>
      <c r="F93" s="42"/>
      <c r="G93" s="42"/>
      <c r="H93" s="42"/>
      <c r="I93" s="42"/>
      <c r="J93" s="194"/>
      <c r="K93" s="41"/>
      <c r="L93" s="408" t="s">
        <v>75</v>
      </c>
      <c r="M93" s="130"/>
      <c r="N93" s="130"/>
      <c r="O93" s="153"/>
      <c r="P93" s="153"/>
      <c r="Q93" s="44">
        <f>+Q94+Q108+Q114+Q165+Q181</f>
        <v>3802814400</v>
      </c>
      <c r="R93" s="180"/>
      <c r="S93" s="45"/>
      <c r="T93" s="531"/>
      <c r="U93" s="556"/>
      <c r="V93" s="557"/>
      <c r="W93" s="476"/>
      <c r="X93" s="476"/>
      <c r="Y93" s="476"/>
      <c r="Z93" s="476"/>
      <c r="AA93" s="476"/>
      <c r="AB93" s="476"/>
      <c r="AC93" s="431"/>
      <c r="AD93" s="431"/>
      <c r="AE93" s="431"/>
      <c r="AF93" s="431"/>
      <c r="AG93" s="431"/>
      <c r="AH93" s="431"/>
      <c r="AI93" s="431"/>
      <c r="AJ93" s="431"/>
      <c r="AK93" s="431"/>
      <c r="AL93" s="431"/>
      <c r="AM93" s="431"/>
      <c r="AN93" s="431"/>
      <c r="AO93" s="431"/>
      <c r="AP93" s="431"/>
      <c r="AQ93" s="431"/>
      <c r="AR93" s="431"/>
      <c r="AS93" s="431"/>
      <c r="AT93" s="431"/>
      <c r="AU93" s="431"/>
      <c r="AV93" s="431"/>
      <c r="AW93" s="431"/>
    </row>
    <row r="94" spans="2:49" ht="45" customHeight="1" x14ac:dyDescent="0.2">
      <c r="B94" s="13" t="s">
        <v>7</v>
      </c>
      <c r="C94" s="14" t="s">
        <v>20</v>
      </c>
      <c r="D94" s="14" t="s">
        <v>20</v>
      </c>
      <c r="E94" s="14" t="s">
        <v>20</v>
      </c>
      <c r="F94" s="14" t="s">
        <v>14</v>
      </c>
      <c r="G94" s="14"/>
      <c r="H94" s="14"/>
      <c r="I94" s="14"/>
      <c r="J94" s="195"/>
      <c r="K94" s="13"/>
      <c r="L94" s="409" t="s">
        <v>81</v>
      </c>
      <c r="M94" s="131"/>
      <c r="N94" s="131"/>
      <c r="O94" s="154"/>
      <c r="P94" s="154"/>
      <c r="Q94" s="16">
        <f>+Q95+Q99+Q102</f>
        <v>562461903</v>
      </c>
      <c r="R94" s="14"/>
      <c r="S94" s="17"/>
      <c r="T94" s="527"/>
      <c r="U94" s="556"/>
      <c r="V94" s="557"/>
      <c r="W94" s="477"/>
      <c r="X94" s="477"/>
      <c r="Y94" s="477"/>
      <c r="Z94" s="477"/>
      <c r="AA94" s="477"/>
      <c r="AB94" s="477"/>
    </row>
    <row r="95" spans="2:49" ht="15" customHeight="1" x14ac:dyDescent="0.2">
      <c r="B95" s="91" t="s">
        <v>7</v>
      </c>
      <c r="C95" s="92" t="s">
        <v>20</v>
      </c>
      <c r="D95" s="92" t="s">
        <v>20</v>
      </c>
      <c r="E95" s="92" t="s">
        <v>20</v>
      </c>
      <c r="F95" s="92" t="s">
        <v>14</v>
      </c>
      <c r="G95" s="92" t="s">
        <v>12</v>
      </c>
      <c r="H95" s="92"/>
      <c r="I95" s="92"/>
      <c r="J95" s="196"/>
      <c r="K95" s="91"/>
      <c r="L95" s="410" t="s">
        <v>82</v>
      </c>
      <c r="M95" s="132"/>
      <c r="N95" s="132"/>
      <c r="O95" s="155"/>
      <c r="P95" s="155"/>
      <c r="Q95" s="94">
        <f>SUM(Q96:Q98)</f>
        <v>39000000</v>
      </c>
      <c r="R95" s="92"/>
      <c r="S95" s="95"/>
      <c r="T95" s="528"/>
      <c r="U95" s="556"/>
      <c r="V95" s="557"/>
      <c r="W95" s="477"/>
      <c r="X95" s="477"/>
      <c r="Y95" s="477"/>
      <c r="Z95" s="477"/>
      <c r="AA95" s="477"/>
      <c r="AB95" s="477"/>
    </row>
    <row r="96" spans="2:49" ht="60" x14ac:dyDescent="0.2">
      <c r="B96" s="623"/>
      <c r="C96" s="624"/>
      <c r="D96" s="624"/>
      <c r="E96" s="624"/>
      <c r="F96" s="624"/>
      <c r="G96" s="624"/>
      <c r="H96" s="624"/>
      <c r="I96" s="624"/>
      <c r="J96" s="624"/>
      <c r="K96" s="440" t="s">
        <v>383</v>
      </c>
      <c r="L96" s="441" t="s">
        <v>245</v>
      </c>
      <c r="M96" s="134">
        <v>44582</v>
      </c>
      <c r="N96" s="134" t="s">
        <v>470</v>
      </c>
      <c r="O96" s="157" t="s">
        <v>381</v>
      </c>
      <c r="P96" s="157" t="s">
        <v>681</v>
      </c>
      <c r="Q96" s="101">
        <v>28000000</v>
      </c>
      <c r="R96" s="443"/>
      <c r="S96" s="439"/>
      <c r="T96" s="521" t="s">
        <v>577</v>
      </c>
      <c r="U96" s="556">
        <v>3522</v>
      </c>
      <c r="V96" s="557">
        <v>44573</v>
      </c>
      <c r="W96" s="477">
        <v>28000000</v>
      </c>
      <c r="X96" s="477">
        <v>28000000</v>
      </c>
      <c r="Y96" s="477">
        <v>28000000</v>
      </c>
      <c r="Z96" s="477">
        <f t="shared" ref="Z96" si="83">+Q96-X96</f>
        <v>0</v>
      </c>
      <c r="AA96" s="477">
        <f t="shared" ref="AA96" si="84">+X96-Y96</f>
        <v>0</v>
      </c>
      <c r="AB96" s="477">
        <f t="shared" ref="AB96" si="85">+Q96+AA96-Y96</f>
        <v>0</v>
      </c>
    </row>
    <row r="97" spans="2:28" ht="60" x14ac:dyDescent="0.2">
      <c r="B97" s="625"/>
      <c r="C97" s="626"/>
      <c r="D97" s="626"/>
      <c r="E97" s="626"/>
      <c r="F97" s="626"/>
      <c r="G97" s="626"/>
      <c r="H97" s="626"/>
      <c r="I97" s="626"/>
      <c r="J97" s="626"/>
      <c r="K97" s="440" t="s">
        <v>383</v>
      </c>
      <c r="L97" s="441" t="s">
        <v>246</v>
      </c>
      <c r="M97" s="134">
        <v>44582</v>
      </c>
      <c r="N97" s="134" t="s">
        <v>470</v>
      </c>
      <c r="O97" s="157" t="s">
        <v>381</v>
      </c>
      <c r="P97" s="157" t="s">
        <v>318</v>
      </c>
      <c r="Q97" s="101">
        <v>4000000</v>
      </c>
      <c r="R97" s="443"/>
      <c r="S97" s="439"/>
      <c r="T97" s="521" t="s">
        <v>577</v>
      </c>
      <c r="U97" s="556">
        <v>3422</v>
      </c>
      <c r="V97" s="557">
        <v>44573</v>
      </c>
      <c r="W97" s="477">
        <v>4000000</v>
      </c>
      <c r="X97" s="477">
        <v>4000000</v>
      </c>
      <c r="Y97" s="477">
        <v>4000000</v>
      </c>
      <c r="Z97" s="477">
        <f t="shared" ref="Z97" si="86">+Q97-X97</f>
        <v>0</v>
      </c>
      <c r="AA97" s="477">
        <f t="shared" ref="AA97" si="87">+X97-Y97</f>
        <v>0</v>
      </c>
      <c r="AB97" s="477">
        <f t="shared" ref="AB97" si="88">+Q97+AA97-Y97</f>
        <v>0</v>
      </c>
    </row>
    <row r="98" spans="2:28" x14ac:dyDescent="0.2">
      <c r="B98" s="625"/>
      <c r="C98" s="626"/>
      <c r="D98" s="626"/>
      <c r="E98" s="626"/>
      <c r="F98" s="626"/>
      <c r="G98" s="626"/>
      <c r="H98" s="626"/>
      <c r="I98" s="626"/>
      <c r="J98" s="626"/>
      <c r="K98" s="438"/>
      <c r="L98" s="441" t="s">
        <v>248</v>
      </c>
      <c r="M98" s="134" t="s">
        <v>375</v>
      </c>
      <c r="N98" s="134" t="s">
        <v>375</v>
      </c>
      <c r="O98" s="134" t="s">
        <v>375</v>
      </c>
      <c r="P98" s="134" t="s">
        <v>375</v>
      </c>
      <c r="Q98" s="101">
        <v>7000000</v>
      </c>
      <c r="R98" s="443"/>
      <c r="S98" s="439"/>
      <c r="T98" s="521"/>
      <c r="U98" s="556">
        <v>19722</v>
      </c>
      <c r="V98" s="557">
        <v>44608</v>
      </c>
      <c r="W98" s="477">
        <v>590000</v>
      </c>
      <c r="X98" s="477">
        <v>590000</v>
      </c>
      <c r="Y98" s="477">
        <v>590000</v>
      </c>
      <c r="Z98" s="477"/>
      <c r="AA98" s="477"/>
      <c r="AB98" s="477"/>
    </row>
    <row r="99" spans="2:28" ht="15" customHeight="1" x14ac:dyDescent="0.2">
      <c r="B99" s="91" t="s">
        <v>7</v>
      </c>
      <c r="C99" s="92" t="s">
        <v>20</v>
      </c>
      <c r="D99" s="92" t="s">
        <v>20</v>
      </c>
      <c r="E99" s="92" t="s">
        <v>20</v>
      </c>
      <c r="F99" s="92" t="s">
        <v>14</v>
      </c>
      <c r="G99" s="92" t="s">
        <v>16</v>
      </c>
      <c r="H99" s="92"/>
      <c r="I99" s="92"/>
      <c r="J99" s="196"/>
      <c r="K99" s="91"/>
      <c r="L99" s="410" t="s">
        <v>83</v>
      </c>
      <c r="M99" s="132"/>
      <c r="N99" s="132"/>
      <c r="O99" s="155"/>
      <c r="P99" s="155"/>
      <c r="Q99" s="94">
        <f>SUM(Q100:Q101)</f>
        <v>13000000</v>
      </c>
      <c r="R99" s="92"/>
      <c r="S99" s="95"/>
      <c r="T99" s="528"/>
      <c r="U99" s="556"/>
      <c r="V99" s="557"/>
      <c r="W99" s="477"/>
      <c r="X99" s="477"/>
      <c r="Y99" s="477"/>
      <c r="Z99" s="477"/>
      <c r="AA99" s="477"/>
      <c r="AB99" s="477"/>
    </row>
    <row r="100" spans="2:28" ht="15" customHeight="1" x14ac:dyDescent="0.2">
      <c r="B100" s="623"/>
      <c r="C100" s="624"/>
      <c r="D100" s="624"/>
      <c r="E100" s="624"/>
      <c r="F100" s="624"/>
      <c r="G100" s="624"/>
      <c r="H100" s="624"/>
      <c r="I100" s="624"/>
      <c r="J100" s="624"/>
      <c r="K100" s="438">
        <v>78102200</v>
      </c>
      <c r="L100" s="441" t="s">
        <v>247</v>
      </c>
      <c r="M100" s="134">
        <v>44602</v>
      </c>
      <c r="N100" s="134" t="s">
        <v>470</v>
      </c>
      <c r="O100" s="157" t="s">
        <v>381</v>
      </c>
      <c r="P100" s="157" t="s">
        <v>318</v>
      </c>
      <c r="Q100" s="101">
        <v>10000000</v>
      </c>
      <c r="R100" s="443" t="s">
        <v>386</v>
      </c>
      <c r="S100" s="439"/>
      <c r="T100" s="521" t="s">
        <v>271</v>
      </c>
      <c r="U100" s="556">
        <v>23022</v>
      </c>
      <c r="V100" s="557">
        <v>44622</v>
      </c>
      <c r="W100" s="477">
        <v>10000000</v>
      </c>
      <c r="X100" s="477">
        <v>10000000</v>
      </c>
      <c r="Y100" s="477">
        <v>10000000</v>
      </c>
      <c r="Z100" s="477">
        <f t="shared" ref="Z100:Z101" si="89">+Q100-X100</f>
        <v>0</v>
      </c>
      <c r="AA100" s="477">
        <f t="shared" ref="AA100:AA101" si="90">+X100-Y100</f>
        <v>0</v>
      </c>
      <c r="AB100" s="477">
        <f t="shared" ref="AB100:AB101" si="91">+Q100+AA100-Y100</f>
        <v>0</v>
      </c>
    </row>
    <row r="101" spans="2:28" x14ac:dyDescent="0.2">
      <c r="B101" s="625"/>
      <c r="C101" s="626"/>
      <c r="D101" s="626"/>
      <c r="E101" s="626"/>
      <c r="F101" s="626"/>
      <c r="G101" s="626"/>
      <c r="H101" s="626"/>
      <c r="I101" s="626"/>
      <c r="J101" s="626"/>
      <c r="K101" s="438"/>
      <c r="L101" s="441" t="s">
        <v>249</v>
      </c>
      <c r="M101" s="134"/>
      <c r="N101" s="134"/>
      <c r="O101" s="157"/>
      <c r="P101" s="134" t="s">
        <v>375</v>
      </c>
      <c r="Q101" s="101">
        <v>3000000</v>
      </c>
      <c r="R101" s="443"/>
      <c r="S101" s="439"/>
      <c r="T101" s="521"/>
      <c r="U101" s="591"/>
      <c r="V101" s="557"/>
      <c r="W101" s="476"/>
      <c r="X101" s="476"/>
      <c r="Y101" s="476">
        <v>6000000</v>
      </c>
      <c r="Z101" s="477">
        <f t="shared" si="89"/>
        <v>3000000</v>
      </c>
      <c r="AA101" s="477">
        <f t="shared" si="90"/>
        <v>-6000000</v>
      </c>
      <c r="AB101" s="477">
        <f t="shared" si="91"/>
        <v>-9000000</v>
      </c>
    </row>
    <row r="102" spans="2:28" ht="30" customHeight="1" x14ac:dyDescent="0.2">
      <c r="B102" s="91" t="s">
        <v>7</v>
      </c>
      <c r="C102" s="92" t="s">
        <v>20</v>
      </c>
      <c r="D102" s="92" t="s">
        <v>20</v>
      </c>
      <c r="E102" s="92" t="s">
        <v>20</v>
      </c>
      <c r="F102" s="92" t="s">
        <v>14</v>
      </c>
      <c r="G102" s="92" t="s">
        <v>17</v>
      </c>
      <c r="H102" s="92"/>
      <c r="I102" s="92"/>
      <c r="J102" s="196"/>
      <c r="K102" s="91"/>
      <c r="L102" s="410" t="s">
        <v>84</v>
      </c>
      <c r="M102" s="132"/>
      <c r="N102" s="132"/>
      <c r="O102" s="155"/>
      <c r="P102" s="155"/>
      <c r="Q102" s="94">
        <f>SUM(Q103:Q103)</f>
        <v>510461903</v>
      </c>
      <c r="R102" s="92"/>
      <c r="S102" s="95"/>
      <c r="T102" s="528"/>
      <c r="U102" s="556"/>
      <c r="V102" s="557"/>
      <c r="W102" s="477"/>
      <c r="X102" s="477"/>
      <c r="Y102" s="477"/>
      <c r="Z102" s="477"/>
      <c r="AA102" s="477"/>
      <c r="AB102" s="477"/>
    </row>
    <row r="103" spans="2:28" ht="30" customHeight="1" x14ac:dyDescent="0.2">
      <c r="B103" s="397" t="s">
        <v>7</v>
      </c>
      <c r="C103" s="395" t="s">
        <v>20</v>
      </c>
      <c r="D103" s="395" t="s">
        <v>20</v>
      </c>
      <c r="E103" s="395" t="s">
        <v>20</v>
      </c>
      <c r="F103" s="395" t="s">
        <v>14</v>
      </c>
      <c r="G103" s="395" t="s">
        <v>17</v>
      </c>
      <c r="H103" s="395" t="s">
        <v>8</v>
      </c>
      <c r="I103" s="395"/>
      <c r="J103" s="404"/>
      <c r="K103" s="397"/>
      <c r="L103" s="403" t="s">
        <v>85</v>
      </c>
      <c r="M103" s="133"/>
      <c r="N103" s="133"/>
      <c r="O103" s="156"/>
      <c r="P103" s="156"/>
      <c r="Q103" s="5">
        <f>SUM(Q104:Q105)</f>
        <v>510461903</v>
      </c>
      <c r="R103" s="181"/>
      <c r="S103" s="396"/>
      <c r="T103" s="530"/>
      <c r="U103" s="556"/>
      <c r="V103" s="557"/>
      <c r="W103" s="477"/>
      <c r="X103" s="477"/>
      <c r="Y103" s="477"/>
      <c r="Z103" s="477"/>
      <c r="AA103" s="477"/>
      <c r="AB103" s="477"/>
    </row>
    <row r="104" spans="2:28" x14ac:dyDescent="0.2">
      <c r="B104" s="623"/>
      <c r="C104" s="624"/>
      <c r="D104" s="624"/>
      <c r="E104" s="624"/>
      <c r="F104" s="624"/>
      <c r="G104" s="624"/>
      <c r="H104" s="624"/>
      <c r="I104" s="624"/>
      <c r="J104" s="624"/>
      <c r="K104" s="438">
        <v>83101800</v>
      </c>
      <c r="L104" s="441" t="s">
        <v>250</v>
      </c>
      <c r="M104" s="134" t="s">
        <v>581</v>
      </c>
      <c r="N104" s="134" t="s">
        <v>585</v>
      </c>
      <c r="O104" s="157" t="s">
        <v>381</v>
      </c>
      <c r="P104" s="134" t="s">
        <v>375</v>
      </c>
      <c r="Q104" s="101">
        <v>337000000</v>
      </c>
      <c r="R104" s="401">
        <f>+(Q104*3)/100</f>
        <v>10110000</v>
      </c>
      <c r="S104" s="423">
        <f>+Q104+R104</f>
        <v>347110000</v>
      </c>
      <c r="T104" s="521" t="s">
        <v>271</v>
      </c>
      <c r="U104" s="639" t="s">
        <v>699</v>
      </c>
      <c r="V104" s="639" t="s">
        <v>717</v>
      </c>
      <c r="W104" s="635">
        <v>19097553</v>
      </c>
      <c r="X104" s="635"/>
      <c r="Y104" s="635"/>
      <c r="Z104" s="635">
        <f>+Q104+Q105-X104-Y104</f>
        <v>510461903</v>
      </c>
      <c r="AA104" s="635">
        <f>+X104-Y104</f>
        <v>0</v>
      </c>
      <c r="AB104" s="635">
        <f>+Q104+Q105+AA104-Y104</f>
        <v>510461903</v>
      </c>
    </row>
    <row r="105" spans="2:28" x14ac:dyDescent="0.2">
      <c r="B105" s="625"/>
      <c r="C105" s="626"/>
      <c r="D105" s="626"/>
      <c r="E105" s="626"/>
      <c r="F105" s="626"/>
      <c r="G105" s="626"/>
      <c r="H105" s="626"/>
      <c r="I105" s="626"/>
      <c r="J105" s="626"/>
      <c r="K105" s="438">
        <v>83101600</v>
      </c>
      <c r="L105" s="441" t="s">
        <v>251</v>
      </c>
      <c r="M105" s="134">
        <v>44563</v>
      </c>
      <c r="N105" s="134" t="s">
        <v>585</v>
      </c>
      <c r="O105" s="157" t="s">
        <v>381</v>
      </c>
      <c r="P105" s="134" t="s">
        <v>375</v>
      </c>
      <c r="Q105" s="101">
        <v>173461903</v>
      </c>
      <c r="R105" s="443">
        <f>+(Q105*3)/100</f>
        <v>5203857.09</v>
      </c>
      <c r="S105" s="423">
        <f>+Q105+R105</f>
        <v>178665760.09</v>
      </c>
      <c r="T105" s="521" t="s">
        <v>271</v>
      </c>
      <c r="U105" s="640"/>
      <c r="V105" s="640"/>
      <c r="W105" s="636"/>
      <c r="X105" s="636"/>
      <c r="Y105" s="636"/>
      <c r="Z105" s="636"/>
      <c r="AA105" s="636"/>
      <c r="AB105" s="636"/>
    </row>
    <row r="106" spans="2:28" ht="30" customHeight="1" x14ac:dyDescent="0.2">
      <c r="B106" s="13" t="s">
        <v>7</v>
      </c>
      <c r="C106" s="14" t="s">
        <v>20</v>
      </c>
      <c r="D106" s="14" t="s">
        <v>20</v>
      </c>
      <c r="E106" s="14" t="s">
        <v>20</v>
      </c>
      <c r="F106" s="14" t="s">
        <v>15</v>
      </c>
      <c r="G106" s="14"/>
      <c r="H106" s="14"/>
      <c r="I106" s="14"/>
      <c r="J106" s="195"/>
      <c r="K106" s="13">
        <v>83101600</v>
      </c>
      <c r="L106" s="409" t="s">
        <v>86</v>
      </c>
      <c r="M106" s="131"/>
      <c r="N106" s="131"/>
      <c r="O106" s="154"/>
      <c r="P106" s="154"/>
      <c r="Q106" s="16">
        <f t="shared" ref="Q106:Q108" si="92">+Q107</f>
        <v>1862000000</v>
      </c>
      <c r="R106" s="14"/>
      <c r="S106" s="17"/>
      <c r="T106" s="527"/>
      <c r="U106" s="556"/>
      <c r="V106" s="557"/>
      <c r="W106" s="477"/>
      <c r="X106" s="477"/>
      <c r="Y106" s="477"/>
      <c r="Z106" s="477">
        <f t="shared" ref="Z106" si="93">+Q106-X106</f>
        <v>1862000000</v>
      </c>
      <c r="AA106" s="477">
        <f t="shared" ref="AA106" si="94">+X106-Y106</f>
        <v>0</v>
      </c>
      <c r="AB106" s="477">
        <f t="shared" ref="AB106" si="95">+Q106+AA106-Y106</f>
        <v>1862000000</v>
      </c>
    </row>
    <row r="107" spans="2:28" ht="15" customHeight="1" x14ac:dyDescent="0.2">
      <c r="B107" s="91" t="s">
        <v>7</v>
      </c>
      <c r="C107" s="92" t="s">
        <v>20</v>
      </c>
      <c r="D107" s="92" t="s">
        <v>20</v>
      </c>
      <c r="E107" s="92" t="s">
        <v>20</v>
      </c>
      <c r="F107" s="92" t="s">
        <v>15</v>
      </c>
      <c r="G107" s="92" t="s">
        <v>9</v>
      </c>
      <c r="H107" s="92"/>
      <c r="I107" s="92"/>
      <c r="J107" s="196"/>
      <c r="K107" s="91"/>
      <c r="L107" s="410" t="s">
        <v>139</v>
      </c>
      <c r="M107" s="132"/>
      <c r="N107" s="132"/>
      <c r="O107" s="155"/>
      <c r="P107" s="155"/>
      <c r="Q107" s="94">
        <f t="shared" si="92"/>
        <v>1862000000</v>
      </c>
      <c r="R107" s="92"/>
      <c r="S107" s="95"/>
      <c r="T107" s="528"/>
      <c r="U107" s="556"/>
      <c r="V107" s="557"/>
      <c r="W107" s="477"/>
      <c r="X107" s="477"/>
      <c r="Y107" s="477"/>
      <c r="Z107" s="477"/>
      <c r="AA107" s="477"/>
      <c r="AB107" s="477"/>
    </row>
    <row r="108" spans="2:28" ht="30" customHeight="1" x14ac:dyDescent="0.2">
      <c r="B108" s="397" t="s">
        <v>7</v>
      </c>
      <c r="C108" s="395" t="s">
        <v>20</v>
      </c>
      <c r="D108" s="395" t="s">
        <v>20</v>
      </c>
      <c r="E108" s="395" t="s">
        <v>20</v>
      </c>
      <c r="F108" s="395" t="s">
        <v>15</v>
      </c>
      <c r="G108" s="395" t="s">
        <v>9</v>
      </c>
      <c r="H108" s="395" t="s">
        <v>23</v>
      </c>
      <c r="I108" s="395"/>
      <c r="J108" s="404"/>
      <c r="K108" s="397"/>
      <c r="L108" s="403" t="s">
        <v>87</v>
      </c>
      <c r="M108" s="133"/>
      <c r="N108" s="133"/>
      <c r="O108" s="156"/>
      <c r="P108" s="156"/>
      <c r="Q108" s="5">
        <f t="shared" si="92"/>
        <v>1862000000</v>
      </c>
      <c r="R108" s="181"/>
      <c r="S108" s="396"/>
      <c r="T108" s="530"/>
      <c r="U108" s="556"/>
      <c r="V108" s="557"/>
      <c r="W108" s="477"/>
      <c r="X108" s="477"/>
      <c r="Y108" s="477"/>
      <c r="Z108" s="477"/>
      <c r="AA108" s="477"/>
      <c r="AB108" s="477"/>
    </row>
    <row r="109" spans="2:28" ht="30" customHeight="1" x14ac:dyDescent="0.2">
      <c r="B109" s="397" t="s">
        <v>7</v>
      </c>
      <c r="C109" s="395" t="s">
        <v>20</v>
      </c>
      <c r="D109" s="395" t="s">
        <v>20</v>
      </c>
      <c r="E109" s="395" t="s">
        <v>20</v>
      </c>
      <c r="F109" s="395" t="s">
        <v>15</v>
      </c>
      <c r="G109" s="395" t="s">
        <v>9</v>
      </c>
      <c r="H109" s="395" t="s">
        <v>23</v>
      </c>
      <c r="I109" s="395" t="s">
        <v>34</v>
      </c>
      <c r="J109" s="404"/>
      <c r="K109" s="397"/>
      <c r="L109" s="403" t="s">
        <v>88</v>
      </c>
      <c r="M109" s="133"/>
      <c r="N109" s="133"/>
      <c r="O109" s="156"/>
      <c r="P109" s="156"/>
      <c r="Q109" s="5">
        <f>+Q110+Q112</f>
        <v>1862000000</v>
      </c>
      <c r="R109" s="181"/>
      <c r="S109" s="396"/>
      <c r="T109" s="530"/>
      <c r="U109" s="556"/>
      <c r="V109" s="557"/>
      <c r="W109" s="477"/>
      <c r="X109" s="477"/>
      <c r="Y109" s="477"/>
      <c r="Z109" s="477"/>
      <c r="AA109" s="477"/>
      <c r="AB109" s="477"/>
    </row>
    <row r="110" spans="2:28" ht="35.25" customHeight="1" x14ac:dyDescent="0.2">
      <c r="B110" s="397" t="s">
        <v>7</v>
      </c>
      <c r="C110" s="395" t="s">
        <v>20</v>
      </c>
      <c r="D110" s="395" t="s">
        <v>20</v>
      </c>
      <c r="E110" s="395" t="s">
        <v>20</v>
      </c>
      <c r="F110" s="395" t="s">
        <v>15</v>
      </c>
      <c r="G110" s="395" t="s">
        <v>9</v>
      </c>
      <c r="H110" s="395" t="s">
        <v>23</v>
      </c>
      <c r="I110" s="395" t="s">
        <v>34</v>
      </c>
      <c r="J110" s="404" t="s">
        <v>24</v>
      </c>
      <c r="K110" s="397"/>
      <c r="L110" s="403" t="s">
        <v>89</v>
      </c>
      <c r="M110" s="133"/>
      <c r="N110" s="133"/>
      <c r="O110" s="156"/>
      <c r="P110" s="156"/>
      <c r="Q110" s="5">
        <f>SUM(Q111:Q111)</f>
        <v>1852000000</v>
      </c>
      <c r="R110" s="181"/>
      <c r="S110" s="396"/>
      <c r="T110" s="530"/>
      <c r="U110" s="556"/>
      <c r="V110" s="557"/>
      <c r="W110" s="477"/>
      <c r="X110" s="477"/>
      <c r="Y110" s="477"/>
      <c r="Z110" s="477"/>
      <c r="AA110" s="477"/>
      <c r="AB110" s="477"/>
    </row>
    <row r="111" spans="2:28" ht="30" x14ac:dyDescent="0.2">
      <c r="B111" s="623"/>
      <c r="C111" s="624"/>
      <c r="D111" s="624"/>
      <c r="E111" s="624"/>
      <c r="F111" s="624"/>
      <c r="G111" s="624"/>
      <c r="H111" s="624"/>
      <c r="I111" s="624"/>
      <c r="J111" s="624"/>
      <c r="K111" s="440" t="s">
        <v>588</v>
      </c>
      <c r="L111" s="441" t="s">
        <v>89</v>
      </c>
      <c r="M111" s="134">
        <v>44206</v>
      </c>
      <c r="N111" s="134" t="s">
        <v>486</v>
      </c>
      <c r="O111" s="157" t="s">
        <v>589</v>
      </c>
      <c r="P111" s="157" t="s">
        <v>317</v>
      </c>
      <c r="Q111" s="101">
        <v>1852000000</v>
      </c>
      <c r="R111" s="401"/>
      <c r="S111" s="399"/>
      <c r="T111" s="521" t="s">
        <v>221</v>
      </c>
      <c r="U111" s="556"/>
      <c r="V111" s="557"/>
      <c r="W111" s="477"/>
      <c r="X111" s="477"/>
      <c r="Y111" s="477"/>
      <c r="Z111" s="477">
        <f t="shared" ref="Z111" si="96">+Q111-X111</f>
        <v>1852000000</v>
      </c>
      <c r="AA111" s="477">
        <f t="shared" ref="AA111" si="97">+X111-Y111</f>
        <v>0</v>
      </c>
      <c r="AB111" s="477">
        <f t="shared" ref="AB111" si="98">+Q111+AA111-Y111</f>
        <v>1852000000</v>
      </c>
    </row>
    <row r="112" spans="2:28" ht="33.75" customHeight="1" x14ac:dyDescent="0.2">
      <c r="B112" s="397" t="s">
        <v>7</v>
      </c>
      <c r="C112" s="395" t="s">
        <v>20</v>
      </c>
      <c r="D112" s="395" t="s">
        <v>20</v>
      </c>
      <c r="E112" s="395" t="s">
        <v>20</v>
      </c>
      <c r="F112" s="395" t="s">
        <v>15</v>
      </c>
      <c r="G112" s="395" t="s">
        <v>9</v>
      </c>
      <c r="H112" s="395" t="s">
        <v>23</v>
      </c>
      <c r="I112" s="395" t="s">
        <v>34</v>
      </c>
      <c r="J112" s="404" t="s">
        <v>29</v>
      </c>
      <c r="K112" s="397"/>
      <c r="L112" s="403" t="s">
        <v>90</v>
      </c>
      <c r="M112" s="133"/>
      <c r="N112" s="133"/>
      <c r="O112" s="156"/>
      <c r="P112" s="156"/>
      <c r="Q112" s="5">
        <f>SUM(Q113:Q113)</f>
        <v>10000000</v>
      </c>
      <c r="R112" s="181"/>
      <c r="S112" s="396"/>
      <c r="T112" s="530"/>
      <c r="U112" s="556"/>
      <c r="V112" s="557"/>
      <c r="W112" s="477"/>
      <c r="X112" s="477"/>
      <c r="Y112" s="477"/>
      <c r="Z112" s="477"/>
      <c r="AA112" s="477"/>
      <c r="AB112" s="477"/>
    </row>
    <row r="113" spans="2:28" ht="45" x14ac:dyDescent="0.2">
      <c r="B113" s="623"/>
      <c r="C113" s="624"/>
      <c r="D113" s="624"/>
      <c r="E113" s="624"/>
      <c r="F113" s="624"/>
      <c r="G113" s="624"/>
      <c r="H113" s="624"/>
      <c r="I113" s="624"/>
      <c r="J113" s="624"/>
      <c r="K113" s="438">
        <v>84131500</v>
      </c>
      <c r="L113" s="441" t="s">
        <v>578</v>
      </c>
      <c r="M113" s="134">
        <v>44837</v>
      </c>
      <c r="N113" s="134" t="s">
        <v>583</v>
      </c>
      <c r="O113" s="157" t="s">
        <v>579</v>
      </c>
      <c r="P113" s="157" t="s">
        <v>642</v>
      </c>
      <c r="Q113" s="101">
        <v>10000000</v>
      </c>
      <c r="R113" s="443"/>
      <c r="S113" s="439"/>
      <c r="T113" s="521" t="s">
        <v>577</v>
      </c>
      <c r="U113" s="556"/>
      <c r="V113" s="557"/>
      <c r="W113" s="477"/>
      <c r="X113" s="477"/>
      <c r="Y113" s="477"/>
      <c r="Z113" s="477">
        <f t="shared" ref="Z113" si="99">+Q113-X113</f>
        <v>10000000</v>
      </c>
      <c r="AA113" s="477">
        <f t="shared" ref="AA113" si="100">+X113-Y113</f>
        <v>0</v>
      </c>
      <c r="AB113" s="477">
        <f t="shared" ref="AB113" si="101">+Q113+AA113-Y113</f>
        <v>10000000</v>
      </c>
    </row>
    <row r="114" spans="2:28" ht="15" customHeight="1" x14ac:dyDescent="0.2">
      <c r="B114" s="13" t="s">
        <v>7</v>
      </c>
      <c r="C114" s="14" t="s">
        <v>20</v>
      </c>
      <c r="D114" s="14" t="s">
        <v>20</v>
      </c>
      <c r="E114" s="14" t="s">
        <v>20</v>
      </c>
      <c r="F114" s="14" t="s">
        <v>16</v>
      </c>
      <c r="G114" s="14"/>
      <c r="H114" s="14"/>
      <c r="I114" s="14"/>
      <c r="J114" s="195"/>
      <c r="K114" s="13"/>
      <c r="L114" s="409" t="s">
        <v>91</v>
      </c>
      <c r="M114" s="131"/>
      <c r="N114" s="131"/>
      <c r="O114" s="154"/>
      <c r="P114" s="154"/>
      <c r="Q114" s="16">
        <f>+Q115+Q119+Q142+Q150</f>
        <v>861352497</v>
      </c>
      <c r="R114" s="14"/>
      <c r="S114" s="17"/>
      <c r="T114" s="527"/>
      <c r="U114" s="556"/>
      <c r="V114" s="557"/>
      <c r="W114" s="477"/>
      <c r="X114" s="477"/>
      <c r="Y114" s="477"/>
      <c r="Z114" s="477"/>
      <c r="AA114" s="477"/>
      <c r="AB114" s="477"/>
    </row>
    <row r="115" spans="2:28" ht="15" customHeight="1" x14ac:dyDescent="0.2">
      <c r="B115" s="91" t="s">
        <v>7</v>
      </c>
      <c r="C115" s="92" t="s">
        <v>20</v>
      </c>
      <c r="D115" s="92" t="s">
        <v>20</v>
      </c>
      <c r="E115" s="92" t="s">
        <v>20</v>
      </c>
      <c r="F115" s="92" t="s">
        <v>16</v>
      </c>
      <c r="G115" s="92" t="s">
        <v>10</v>
      </c>
      <c r="H115" s="92"/>
      <c r="I115" s="92"/>
      <c r="J115" s="196"/>
      <c r="K115" s="91"/>
      <c r="L115" s="410" t="s">
        <v>92</v>
      </c>
      <c r="M115" s="132"/>
      <c r="N115" s="132"/>
      <c r="O115" s="155"/>
      <c r="P115" s="155"/>
      <c r="Q115" s="94">
        <f>+Q116</f>
        <v>103193333</v>
      </c>
      <c r="R115" s="92"/>
      <c r="S115" s="95"/>
      <c r="T115" s="528"/>
      <c r="U115" s="556"/>
      <c r="V115" s="557"/>
      <c r="W115" s="477"/>
      <c r="X115" s="477"/>
      <c r="Y115" s="477"/>
      <c r="Z115" s="477"/>
      <c r="AA115" s="477"/>
      <c r="AB115" s="477"/>
    </row>
    <row r="116" spans="2:28" ht="15" customHeight="1" x14ac:dyDescent="0.2">
      <c r="B116" s="397" t="s">
        <v>7</v>
      </c>
      <c r="C116" s="395" t="s">
        <v>20</v>
      </c>
      <c r="D116" s="395" t="s">
        <v>20</v>
      </c>
      <c r="E116" s="395" t="s">
        <v>20</v>
      </c>
      <c r="F116" s="395" t="s">
        <v>16</v>
      </c>
      <c r="G116" s="395" t="s">
        <v>10</v>
      </c>
      <c r="H116" s="395" t="s">
        <v>8</v>
      </c>
      <c r="I116" s="395"/>
      <c r="J116" s="404"/>
      <c r="K116" s="397"/>
      <c r="L116" s="403" t="s">
        <v>93</v>
      </c>
      <c r="M116" s="133"/>
      <c r="N116" s="133"/>
      <c r="O116" s="156"/>
      <c r="P116" s="156"/>
      <c r="Q116" s="5">
        <f>SUM(Q117:Q118)</f>
        <v>103193333</v>
      </c>
      <c r="R116" s="181"/>
      <c r="S116" s="396"/>
      <c r="T116" s="530"/>
      <c r="U116" s="556"/>
      <c r="V116" s="557"/>
      <c r="W116" s="477"/>
      <c r="X116" s="477"/>
      <c r="Y116" s="477"/>
      <c r="Z116" s="477"/>
      <c r="AA116" s="477"/>
      <c r="AB116" s="477"/>
    </row>
    <row r="117" spans="2:28" ht="105" x14ac:dyDescent="0.2">
      <c r="B117" s="623"/>
      <c r="C117" s="624"/>
      <c r="D117" s="624"/>
      <c r="E117" s="624"/>
      <c r="F117" s="624"/>
      <c r="G117" s="624"/>
      <c r="H117" s="624"/>
      <c r="I117" s="624"/>
      <c r="J117" s="646"/>
      <c r="K117" s="438">
        <v>80121600</v>
      </c>
      <c r="L117" s="441" t="s">
        <v>627</v>
      </c>
      <c r="M117" s="134">
        <v>44572</v>
      </c>
      <c r="N117" s="134" t="s">
        <v>472</v>
      </c>
      <c r="O117" s="157" t="s">
        <v>625</v>
      </c>
      <c r="P117" s="157" t="s">
        <v>473</v>
      </c>
      <c r="Q117" s="101">
        <v>52593333</v>
      </c>
      <c r="R117" s="443"/>
      <c r="S117" s="399"/>
      <c r="T117" s="521" t="s">
        <v>626</v>
      </c>
      <c r="U117" s="556">
        <v>522</v>
      </c>
      <c r="V117" s="557">
        <v>44566</v>
      </c>
      <c r="W117" s="477">
        <v>52593333</v>
      </c>
      <c r="X117" s="477">
        <v>52593333</v>
      </c>
      <c r="Y117" s="477">
        <v>52593333</v>
      </c>
      <c r="Z117" s="477">
        <f t="shared" ref="Z117:Z118" si="102">+Q117-X117</f>
        <v>0</v>
      </c>
      <c r="AA117" s="477">
        <f t="shared" ref="AA117:AA118" si="103">+X117-Y117</f>
        <v>0</v>
      </c>
      <c r="AB117" s="477">
        <f t="shared" ref="AB117:AB118" si="104">+Q117+AA117-Y117</f>
        <v>0</v>
      </c>
    </row>
    <row r="118" spans="2:28" s="394" customFormat="1" ht="60" x14ac:dyDescent="0.2">
      <c r="B118" s="625"/>
      <c r="C118" s="626"/>
      <c r="D118" s="626"/>
      <c r="E118" s="626"/>
      <c r="F118" s="626"/>
      <c r="G118" s="626"/>
      <c r="H118" s="626"/>
      <c r="I118" s="626"/>
      <c r="J118" s="647"/>
      <c r="K118" s="438">
        <v>80121600</v>
      </c>
      <c r="L118" s="441" t="s">
        <v>562</v>
      </c>
      <c r="M118" s="134">
        <v>44571</v>
      </c>
      <c r="N118" s="134" t="s">
        <v>484</v>
      </c>
      <c r="O118" s="157" t="s">
        <v>381</v>
      </c>
      <c r="P118" s="157" t="s">
        <v>473</v>
      </c>
      <c r="Q118" s="101">
        <f>4600000*11</f>
        <v>50600000</v>
      </c>
      <c r="R118" s="443"/>
      <c r="S118" s="430"/>
      <c r="T118" s="521" t="s">
        <v>272</v>
      </c>
      <c r="U118" s="556">
        <v>822</v>
      </c>
      <c r="V118" s="557">
        <v>44567</v>
      </c>
      <c r="W118" s="477">
        <v>50600000</v>
      </c>
      <c r="X118" s="477">
        <v>50600000</v>
      </c>
      <c r="Y118" s="477">
        <v>50600000</v>
      </c>
      <c r="Z118" s="477">
        <f t="shared" si="102"/>
        <v>0</v>
      </c>
      <c r="AA118" s="477">
        <f t="shared" si="103"/>
        <v>0</v>
      </c>
      <c r="AB118" s="477">
        <f t="shared" si="104"/>
        <v>0</v>
      </c>
    </row>
    <row r="119" spans="2:28" ht="15" customHeight="1" x14ac:dyDescent="0.2">
      <c r="B119" s="91" t="s">
        <v>7</v>
      </c>
      <c r="C119" s="92" t="s">
        <v>20</v>
      </c>
      <c r="D119" s="92" t="s">
        <v>20</v>
      </c>
      <c r="E119" s="92" t="s">
        <v>20</v>
      </c>
      <c r="F119" s="92" t="s">
        <v>16</v>
      </c>
      <c r="G119" s="92" t="s">
        <v>11</v>
      </c>
      <c r="H119" s="92"/>
      <c r="I119" s="92"/>
      <c r="J119" s="196"/>
      <c r="K119" s="91"/>
      <c r="L119" s="410" t="s">
        <v>95</v>
      </c>
      <c r="M119" s="132"/>
      <c r="N119" s="132"/>
      <c r="O119" s="155"/>
      <c r="P119" s="155"/>
      <c r="Q119" s="94">
        <f>+Q120</f>
        <v>612861400</v>
      </c>
      <c r="R119" s="92"/>
      <c r="S119" s="554"/>
      <c r="T119" s="555"/>
      <c r="U119" s="556"/>
      <c r="V119" s="557"/>
      <c r="W119" s="477"/>
      <c r="X119" s="477"/>
      <c r="Y119" s="477"/>
      <c r="Z119" s="477"/>
      <c r="AA119" s="477"/>
      <c r="AB119" s="477"/>
    </row>
    <row r="120" spans="2:28" ht="30" customHeight="1" x14ac:dyDescent="0.2">
      <c r="B120" s="397" t="s">
        <v>7</v>
      </c>
      <c r="C120" s="395" t="s">
        <v>20</v>
      </c>
      <c r="D120" s="395" t="s">
        <v>20</v>
      </c>
      <c r="E120" s="395" t="s">
        <v>20</v>
      </c>
      <c r="F120" s="395" t="s">
        <v>16</v>
      </c>
      <c r="G120" s="395" t="s">
        <v>11</v>
      </c>
      <c r="H120" s="395" t="s">
        <v>8</v>
      </c>
      <c r="I120" s="395"/>
      <c r="J120" s="404"/>
      <c r="K120" s="397"/>
      <c r="L120" s="403" t="s">
        <v>122</v>
      </c>
      <c r="M120" s="133"/>
      <c r="N120" s="133"/>
      <c r="O120" s="156"/>
      <c r="P120" s="156"/>
      <c r="Q120" s="5">
        <f>+Q121+Q130+Q132</f>
        <v>612861400</v>
      </c>
      <c r="R120" s="181"/>
      <c r="S120" s="396"/>
      <c r="T120" s="530"/>
      <c r="U120" s="556"/>
      <c r="V120" s="557"/>
      <c r="W120" s="476"/>
      <c r="X120" s="476"/>
      <c r="Y120" s="476"/>
      <c r="Z120" s="476"/>
      <c r="AA120" s="476"/>
      <c r="AB120" s="476"/>
    </row>
    <row r="121" spans="2:28" ht="30" x14ac:dyDescent="0.2">
      <c r="B121" s="397" t="s">
        <v>7</v>
      </c>
      <c r="C121" s="395" t="s">
        <v>20</v>
      </c>
      <c r="D121" s="395" t="s">
        <v>20</v>
      </c>
      <c r="E121" s="395" t="s">
        <v>20</v>
      </c>
      <c r="F121" s="395" t="s">
        <v>16</v>
      </c>
      <c r="G121" s="395" t="s">
        <v>11</v>
      </c>
      <c r="H121" s="395" t="s">
        <v>8</v>
      </c>
      <c r="I121" s="395" t="s">
        <v>21</v>
      </c>
      <c r="J121" s="198"/>
      <c r="K121" s="12"/>
      <c r="L121" s="403" t="s">
        <v>96</v>
      </c>
      <c r="M121" s="133"/>
      <c r="N121" s="133"/>
      <c r="O121" s="156"/>
      <c r="P121" s="159"/>
      <c r="Q121" s="5">
        <f>SUM(Q122:Q129)</f>
        <v>298269400</v>
      </c>
      <c r="R121" s="181"/>
      <c r="S121" s="396"/>
      <c r="T121" s="530"/>
      <c r="U121" s="556"/>
      <c r="V121" s="557"/>
      <c r="W121" s="477"/>
      <c r="X121" s="477"/>
      <c r="Y121" s="477"/>
      <c r="Z121" s="477"/>
      <c r="AA121" s="477"/>
      <c r="AB121" s="477"/>
    </row>
    <row r="122" spans="2:28" ht="60" x14ac:dyDescent="0.2">
      <c r="B122" s="623"/>
      <c r="C122" s="624"/>
      <c r="D122" s="624"/>
      <c r="E122" s="624"/>
      <c r="F122" s="624"/>
      <c r="G122" s="624"/>
      <c r="H122" s="624"/>
      <c r="I122" s="624"/>
      <c r="J122" s="624"/>
      <c r="K122" s="438">
        <v>80101500</v>
      </c>
      <c r="L122" s="441" t="s">
        <v>469</v>
      </c>
      <c r="M122" s="134">
        <v>44585</v>
      </c>
      <c r="N122" s="134" t="s">
        <v>470</v>
      </c>
      <c r="O122" s="157" t="s">
        <v>658</v>
      </c>
      <c r="P122" s="157" t="s">
        <v>535</v>
      </c>
      <c r="Q122" s="101">
        <f>45000000</f>
        <v>45000000</v>
      </c>
      <c r="R122" s="443" t="s">
        <v>350</v>
      </c>
      <c r="S122" s="439"/>
      <c r="T122" s="521" t="s">
        <v>474</v>
      </c>
      <c r="U122" s="556">
        <v>16422</v>
      </c>
      <c r="V122" s="557">
        <v>44600</v>
      </c>
      <c r="W122" s="477">
        <v>45000000</v>
      </c>
      <c r="X122" s="477">
        <v>45000000</v>
      </c>
      <c r="Y122" s="477"/>
      <c r="Z122" s="477">
        <f t="shared" ref="Z122:Z129" si="105">+Q122-X122</f>
        <v>0</v>
      </c>
      <c r="AA122" s="477">
        <f t="shared" ref="AA122:AA129" si="106">+X122-Y122</f>
        <v>45000000</v>
      </c>
      <c r="AB122" s="477">
        <f t="shared" ref="AB122:AB129" si="107">+Q122+AA122-Y122</f>
        <v>90000000</v>
      </c>
    </row>
    <row r="123" spans="2:28" s="431" customFormat="1" ht="105" x14ac:dyDescent="0.2">
      <c r="B123" s="625"/>
      <c r="C123" s="626"/>
      <c r="D123" s="626"/>
      <c r="E123" s="626"/>
      <c r="F123" s="626"/>
      <c r="G123" s="626"/>
      <c r="H123" s="626"/>
      <c r="I123" s="626"/>
      <c r="J123" s="626"/>
      <c r="K123" s="438">
        <v>80101500</v>
      </c>
      <c r="L123" s="441" t="s">
        <v>495</v>
      </c>
      <c r="M123" s="134">
        <v>44576</v>
      </c>
      <c r="N123" s="134" t="s">
        <v>472</v>
      </c>
      <c r="O123" s="157" t="s">
        <v>381</v>
      </c>
      <c r="P123" s="157" t="s">
        <v>473</v>
      </c>
      <c r="Q123" s="101">
        <v>50600000</v>
      </c>
      <c r="R123" s="443" t="s">
        <v>350</v>
      </c>
      <c r="S123" s="439"/>
      <c r="T123" s="520" t="s">
        <v>496</v>
      </c>
      <c r="U123" s="556">
        <v>922</v>
      </c>
      <c r="V123" s="557">
        <v>44567</v>
      </c>
      <c r="W123" s="477">
        <v>50600000</v>
      </c>
      <c r="X123" s="477">
        <v>50600000</v>
      </c>
      <c r="Y123" s="477">
        <v>50600000</v>
      </c>
      <c r="Z123" s="477">
        <f t="shared" si="105"/>
        <v>0</v>
      </c>
      <c r="AA123" s="477">
        <f t="shared" si="106"/>
        <v>0</v>
      </c>
      <c r="AB123" s="477">
        <f t="shared" si="107"/>
        <v>0</v>
      </c>
    </row>
    <row r="124" spans="2:28" s="431" customFormat="1" ht="135" x14ac:dyDescent="0.2">
      <c r="B124" s="625"/>
      <c r="C124" s="626"/>
      <c r="D124" s="626"/>
      <c r="E124" s="626"/>
      <c r="F124" s="626"/>
      <c r="G124" s="626"/>
      <c r="H124" s="626"/>
      <c r="I124" s="626"/>
      <c r="J124" s="626"/>
      <c r="K124" s="438">
        <v>80101500</v>
      </c>
      <c r="L124" s="441" t="s">
        <v>629</v>
      </c>
      <c r="M124" s="134">
        <v>44576</v>
      </c>
      <c r="N124" s="134" t="s">
        <v>472</v>
      </c>
      <c r="O124" s="157" t="s">
        <v>381</v>
      </c>
      <c r="P124" s="157" t="s">
        <v>473</v>
      </c>
      <c r="Q124" s="101">
        <v>50600000</v>
      </c>
      <c r="R124" s="443" t="s">
        <v>350</v>
      </c>
      <c r="S124" s="439"/>
      <c r="T124" s="520" t="s">
        <v>496</v>
      </c>
      <c r="U124" s="556">
        <v>1422</v>
      </c>
      <c r="V124" s="557">
        <v>44572</v>
      </c>
      <c r="W124" s="477">
        <v>50600000</v>
      </c>
      <c r="X124" s="477">
        <v>50600000</v>
      </c>
      <c r="Y124" s="477">
        <v>50600000</v>
      </c>
      <c r="Z124" s="477">
        <f t="shared" si="105"/>
        <v>0</v>
      </c>
      <c r="AA124" s="477">
        <f t="shared" si="106"/>
        <v>0</v>
      </c>
      <c r="AB124" s="477">
        <f t="shared" si="107"/>
        <v>0</v>
      </c>
    </row>
    <row r="125" spans="2:28" s="431" customFormat="1" ht="60" x14ac:dyDescent="0.2">
      <c r="B125" s="625"/>
      <c r="C125" s="626"/>
      <c r="D125" s="626"/>
      <c r="E125" s="626"/>
      <c r="F125" s="626"/>
      <c r="G125" s="626"/>
      <c r="H125" s="626"/>
      <c r="I125" s="626"/>
      <c r="J125" s="626"/>
      <c r="K125" s="438">
        <v>81101500</v>
      </c>
      <c r="L125" s="441" t="s">
        <v>632</v>
      </c>
      <c r="M125" s="134">
        <v>44576</v>
      </c>
      <c r="N125" s="134" t="s">
        <v>472</v>
      </c>
      <c r="O125" s="157" t="s">
        <v>381</v>
      </c>
      <c r="P125" s="157" t="s">
        <v>473</v>
      </c>
      <c r="Q125" s="101">
        <f>50600000-1500000-2190600-11840000</f>
        <v>35069400</v>
      </c>
      <c r="R125" s="443"/>
      <c r="S125" s="439"/>
      <c r="T125" s="521" t="s">
        <v>561</v>
      </c>
      <c r="U125" s="556">
        <v>2922</v>
      </c>
      <c r="V125" s="557">
        <v>44573</v>
      </c>
      <c r="W125" s="477">
        <v>33000000</v>
      </c>
      <c r="X125" s="477">
        <v>33000000</v>
      </c>
      <c r="Y125" s="477">
        <v>33000000</v>
      </c>
      <c r="Z125" s="477">
        <f t="shared" si="105"/>
        <v>2069400</v>
      </c>
      <c r="AA125" s="477">
        <f t="shared" si="106"/>
        <v>0</v>
      </c>
      <c r="AB125" s="477">
        <f t="shared" si="107"/>
        <v>2069400</v>
      </c>
    </row>
    <row r="126" spans="2:28" s="431" customFormat="1" ht="30" x14ac:dyDescent="0.2">
      <c r="B126" s="625"/>
      <c r="C126" s="626"/>
      <c r="D126" s="626"/>
      <c r="E126" s="626"/>
      <c r="F126" s="626"/>
      <c r="G126" s="626"/>
      <c r="H126" s="626"/>
      <c r="I126" s="626"/>
      <c r="J126" s="626"/>
      <c r="K126" s="438">
        <v>80111600</v>
      </c>
      <c r="L126" s="441" t="s">
        <v>680</v>
      </c>
      <c r="M126" s="134">
        <v>44581</v>
      </c>
      <c r="N126" s="134" t="s">
        <v>585</v>
      </c>
      <c r="O126" s="157" t="s">
        <v>468</v>
      </c>
      <c r="P126" s="157" t="s">
        <v>473</v>
      </c>
      <c r="Q126" s="101">
        <v>1500000</v>
      </c>
      <c r="R126" s="443"/>
      <c r="S126" s="439"/>
      <c r="T126" s="521" t="s">
        <v>718</v>
      </c>
      <c r="U126" s="556">
        <v>7622</v>
      </c>
      <c r="V126" s="557">
        <v>44579</v>
      </c>
      <c r="W126" s="477">
        <v>1500000</v>
      </c>
      <c r="X126" s="477">
        <v>1500000</v>
      </c>
      <c r="Y126" s="477">
        <v>1500000</v>
      </c>
      <c r="Z126" s="477">
        <f t="shared" si="105"/>
        <v>0</v>
      </c>
      <c r="AA126" s="477">
        <f t="shared" si="106"/>
        <v>0</v>
      </c>
      <c r="AB126" s="477">
        <f t="shared" si="107"/>
        <v>0</v>
      </c>
    </row>
    <row r="127" spans="2:28" s="431" customFormat="1" ht="120" x14ac:dyDescent="0.2">
      <c r="B127" s="625"/>
      <c r="C127" s="626"/>
      <c r="D127" s="626"/>
      <c r="E127" s="626"/>
      <c r="F127" s="626"/>
      <c r="G127" s="626"/>
      <c r="H127" s="626"/>
      <c r="I127" s="626"/>
      <c r="J127" s="626"/>
      <c r="K127" s="438">
        <v>80101500</v>
      </c>
      <c r="L127" s="441" t="s">
        <v>633</v>
      </c>
      <c r="M127" s="134">
        <v>44576</v>
      </c>
      <c r="N127" s="134" t="s">
        <v>472</v>
      </c>
      <c r="O127" s="157" t="s">
        <v>381</v>
      </c>
      <c r="P127" s="157" t="s">
        <v>473</v>
      </c>
      <c r="Q127" s="101">
        <v>36300000</v>
      </c>
      <c r="R127" s="443" t="s">
        <v>350</v>
      </c>
      <c r="S127" s="439"/>
      <c r="T127" s="520" t="s">
        <v>496</v>
      </c>
      <c r="U127" s="556">
        <v>1222</v>
      </c>
      <c r="V127" s="557">
        <v>44572</v>
      </c>
      <c r="W127" s="477">
        <v>36300000</v>
      </c>
      <c r="X127" s="477">
        <v>36300000</v>
      </c>
      <c r="Y127" s="477">
        <v>23100000</v>
      </c>
      <c r="Z127" s="477">
        <f t="shared" si="105"/>
        <v>0</v>
      </c>
      <c r="AA127" s="477">
        <f t="shared" si="106"/>
        <v>13200000</v>
      </c>
      <c r="AB127" s="477">
        <f t="shared" si="107"/>
        <v>26400000</v>
      </c>
    </row>
    <row r="128" spans="2:28" s="431" customFormat="1" ht="75" x14ac:dyDescent="0.2">
      <c r="B128" s="497"/>
      <c r="C128" s="498"/>
      <c r="D128" s="498"/>
      <c r="E128" s="498"/>
      <c r="F128" s="498"/>
      <c r="G128" s="498"/>
      <c r="H128" s="498"/>
      <c r="I128" s="498"/>
      <c r="J128" s="498"/>
      <c r="K128" s="438">
        <v>80101500</v>
      </c>
      <c r="L128" s="441" t="s">
        <v>599</v>
      </c>
      <c r="M128" s="134">
        <v>44565</v>
      </c>
      <c r="N128" s="134" t="s">
        <v>472</v>
      </c>
      <c r="O128" s="157" t="s">
        <v>556</v>
      </c>
      <c r="P128" s="157" t="s">
        <v>590</v>
      </c>
      <c r="Q128" s="101">
        <f>2600000*11</f>
        <v>28600000</v>
      </c>
      <c r="R128" s="443"/>
      <c r="S128" s="439"/>
      <c r="T128" s="521" t="s">
        <v>536</v>
      </c>
      <c r="U128" s="556">
        <v>1322</v>
      </c>
      <c r="V128" s="557">
        <v>44572</v>
      </c>
      <c r="W128" s="477" t="s">
        <v>430</v>
      </c>
      <c r="X128" s="477">
        <v>28600000</v>
      </c>
      <c r="Y128" s="477">
        <v>18200000</v>
      </c>
      <c r="Z128" s="477">
        <f t="shared" si="105"/>
        <v>0</v>
      </c>
      <c r="AA128" s="477">
        <f t="shared" si="106"/>
        <v>10400000</v>
      </c>
      <c r="AB128" s="477">
        <f t="shared" si="107"/>
        <v>20800000</v>
      </c>
    </row>
    <row r="129" spans="2:28" s="431" customFormat="1" ht="45" x14ac:dyDescent="0.2">
      <c r="B129" s="549"/>
      <c r="C129" s="550"/>
      <c r="D129" s="550"/>
      <c r="E129" s="550"/>
      <c r="F129" s="550"/>
      <c r="G129" s="550"/>
      <c r="H129" s="550"/>
      <c r="I129" s="550"/>
      <c r="J129" s="550"/>
      <c r="K129" s="438">
        <v>80101500</v>
      </c>
      <c r="L129" s="441" t="s">
        <v>657</v>
      </c>
      <c r="M129" s="134">
        <v>44576</v>
      </c>
      <c r="N129" s="134" t="s">
        <v>472</v>
      </c>
      <c r="O129" s="157" t="s">
        <v>381</v>
      </c>
      <c r="P129" s="157" t="s">
        <v>473</v>
      </c>
      <c r="Q129" s="101">
        <v>50600000</v>
      </c>
      <c r="R129" s="443" t="s">
        <v>350</v>
      </c>
      <c r="S129" s="439"/>
      <c r="T129" s="520" t="s">
        <v>536</v>
      </c>
      <c r="U129" s="556">
        <v>8622</v>
      </c>
      <c r="V129" s="557">
        <v>44582</v>
      </c>
      <c r="W129" s="477">
        <v>50600000</v>
      </c>
      <c r="X129" s="477">
        <v>50600000</v>
      </c>
      <c r="Y129" s="477">
        <v>50600000</v>
      </c>
      <c r="Z129" s="477">
        <f t="shared" si="105"/>
        <v>0</v>
      </c>
      <c r="AA129" s="477">
        <f t="shared" si="106"/>
        <v>0</v>
      </c>
      <c r="AB129" s="477">
        <f t="shared" si="107"/>
        <v>0</v>
      </c>
    </row>
    <row r="130" spans="2:28" ht="15" customHeight="1" x14ac:dyDescent="0.2">
      <c r="B130" s="397" t="s">
        <v>7</v>
      </c>
      <c r="C130" s="395" t="s">
        <v>20</v>
      </c>
      <c r="D130" s="395" t="s">
        <v>20</v>
      </c>
      <c r="E130" s="395" t="s">
        <v>20</v>
      </c>
      <c r="F130" s="395" t="s">
        <v>16</v>
      </c>
      <c r="G130" s="395" t="s">
        <v>11</v>
      </c>
      <c r="H130" s="395" t="s">
        <v>8</v>
      </c>
      <c r="I130" s="395" t="s">
        <v>22</v>
      </c>
      <c r="J130" s="404"/>
      <c r="K130" s="397"/>
      <c r="L130" s="403" t="s">
        <v>97</v>
      </c>
      <c r="M130" s="133"/>
      <c r="N130" s="133"/>
      <c r="O130" s="156"/>
      <c r="P130" s="159"/>
      <c r="Q130" s="5">
        <f>SUM(Q131:Q131)</f>
        <v>7000000</v>
      </c>
      <c r="R130" s="181"/>
      <c r="S130" s="396"/>
      <c r="T130" s="530"/>
      <c r="U130" s="556"/>
      <c r="V130" s="557"/>
      <c r="W130" s="477"/>
      <c r="X130" s="477"/>
      <c r="Y130" s="477"/>
      <c r="Z130" s="477"/>
      <c r="AA130" s="477"/>
      <c r="AB130" s="477"/>
    </row>
    <row r="131" spans="2:28" ht="30" x14ac:dyDescent="0.2">
      <c r="B131" s="623"/>
      <c r="C131" s="624"/>
      <c r="D131" s="624"/>
      <c r="E131" s="624"/>
      <c r="F131" s="624"/>
      <c r="G131" s="624"/>
      <c r="H131" s="624"/>
      <c r="I131" s="624"/>
      <c r="J131" s="624"/>
      <c r="K131" s="398">
        <v>80101500</v>
      </c>
      <c r="L131" s="400" t="s">
        <v>400</v>
      </c>
      <c r="M131" s="134">
        <v>44849</v>
      </c>
      <c r="N131" s="134" t="s">
        <v>526</v>
      </c>
      <c r="O131" s="157" t="s">
        <v>468</v>
      </c>
      <c r="P131" s="157" t="s">
        <v>473</v>
      </c>
      <c r="Q131" s="101">
        <v>7000000</v>
      </c>
      <c r="R131" s="401" t="s">
        <v>386</v>
      </c>
      <c r="S131" s="399"/>
      <c r="T131" s="521" t="s">
        <v>194</v>
      </c>
      <c r="U131" s="556"/>
      <c r="V131" s="557"/>
      <c r="W131" s="477"/>
      <c r="X131" s="477"/>
      <c r="Y131" s="477"/>
      <c r="Z131" s="477">
        <f t="shared" ref="Z131" si="108">+Q131-X131</f>
        <v>7000000</v>
      </c>
      <c r="AA131" s="477">
        <f t="shared" ref="AA131" si="109">+X131-Y131</f>
        <v>0</v>
      </c>
      <c r="AB131" s="477">
        <f t="shared" ref="AB131" si="110">+Q131+AA131-Y131</f>
        <v>7000000</v>
      </c>
    </row>
    <row r="132" spans="2:28" ht="31.5" customHeight="1" x14ac:dyDescent="0.2">
      <c r="B132" s="397" t="s">
        <v>7</v>
      </c>
      <c r="C132" s="395" t="s">
        <v>20</v>
      </c>
      <c r="D132" s="395" t="s">
        <v>20</v>
      </c>
      <c r="E132" s="395" t="s">
        <v>20</v>
      </c>
      <c r="F132" s="395" t="s">
        <v>16</v>
      </c>
      <c r="G132" s="395" t="s">
        <v>11</v>
      </c>
      <c r="H132" s="395" t="s">
        <v>8</v>
      </c>
      <c r="I132" s="395" t="s">
        <v>32</v>
      </c>
      <c r="J132" s="404"/>
      <c r="K132" s="397"/>
      <c r="L132" s="403" t="s">
        <v>98</v>
      </c>
      <c r="M132" s="133"/>
      <c r="N132" s="133"/>
      <c r="O132" s="156"/>
      <c r="P132" s="156"/>
      <c r="Q132" s="5">
        <f>SUM(Q133:Q141)</f>
        <v>307592000</v>
      </c>
      <c r="R132" s="181"/>
      <c r="S132" s="396"/>
      <c r="T132" s="530"/>
      <c r="U132" s="556"/>
      <c r="V132" s="557"/>
      <c r="W132" s="477"/>
      <c r="X132" s="477"/>
      <c r="Y132" s="477"/>
      <c r="Z132" s="477"/>
      <c r="AA132" s="477"/>
      <c r="AB132" s="477"/>
    </row>
    <row r="133" spans="2:28" ht="30" customHeight="1" x14ac:dyDescent="0.2">
      <c r="B133" s="625"/>
      <c r="C133" s="626"/>
      <c r="D133" s="626"/>
      <c r="E133" s="626"/>
      <c r="F133" s="626"/>
      <c r="G133" s="626"/>
      <c r="H133" s="626"/>
      <c r="I133" s="626"/>
      <c r="J133" s="626"/>
      <c r="K133" s="501" t="s">
        <v>308</v>
      </c>
      <c r="L133" s="441" t="s">
        <v>643</v>
      </c>
      <c r="M133" s="134">
        <v>44571</v>
      </c>
      <c r="N133" s="134" t="s">
        <v>585</v>
      </c>
      <c r="O133" s="157" t="s">
        <v>301</v>
      </c>
      <c r="P133" s="157" t="s">
        <v>318</v>
      </c>
      <c r="Q133" s="101">
        <v>24927000</v>
      </c>
      <c r="R133" s="443" t="s">
        <v>322</v>
      </c>
      <c r="S133" s="439"/>
      <c r="T133" s="521" t="s">
        <v>181</v>
      </c>
      <c r="U133" s="556">
        <v>20822</v>
      </c>
      <c r="V133" s="557">
        <v>44610</v>
      </c>
      <c r="W133" s="477">
        <v>24927000000</v>
      </c>
      <c r="X133" s="477">
        <v>24927000</v>
      </c>
      <c r="Y133" s="477">
        <v>20643867</v>
      </c>
      <c r="Z133" s="477">
        <f t="shared" ref="Z133:Z141" si="111">+Q133-X133</f>
        <v>0</v>
      </c>
      <c r="AA133" s="477">
        <f t="shared" ref="AA133:AA141" si="112">+X133-Y133</f>
        <v>4283133</v>
      </c>
      <c r="AB133" s="477">
        <f t="shared" ref="AB133:AB141" si="113">+Q133+AA133-Y133</f>
        <v>8566266</v>
      </c>
    </row>
    <row r="134" spans="2:28" s="431" customFormat="1" ht="30" customHeight="1" x14ac:dyDescent="0.2">
      <c r="B134" s="625"/>
      <c r="C134" s="626"/>
      <c r="D134" s="626"/>
      <c r="E134" s="626"/>
      <c r="F134" s="626"/>
      <c r="G134" s="626"/>
      <c r="H134" s="626"/>
      <c r="I134" s="626"/>
      <c r="J134" s="626"/>
      <c r="K134" s="440" t="s">
        <v>308</v>
      </c>
      <c r="L134" s="441" t="s">
        <v>644</v>
      </c>
      <c r="M134" s="134">
        <v>44691</v>
      </c>
      <c r="N134" s="134" t="s">
        <v>533</v>
      </c>
      <c r="O134" s="157" t="s">
        <v>471</v>
      </c>
      <c r="P134" s="157" t="s">
        <v>318</v>
      </c>
      <c r="Q134" s="101">
        <v>10500000</v>
      </c>
      <c r="R134" s="443" t="s">
        <v>350</v>
      </c>
      <c r="S134" s="439"/>
      <c r="T134" s="521" t="s">
        <v>181</v>
      </c>
      <c r="U134" s="556"/>
      <c r="V134" s="557"/>
      <c r="W134" s="477"/>
      <c r="X134" s="477"/>
      <c r="Y134" s="477"/>
      <c r="Z134" s="477">
        <f t="shared" si="111"/>
        <v>10500000</v>
      </c>
      <c r="AA134" s="477">
        <f t="shared" si="112"/>
        <v>0</v>
      </c>
      <c r="AB134" s="477">
        <f t="shared" si="113"/>
        <v>10500000</v>
      </c>
    </row>
    <row r="135" spans="2:28" s="431" customFormat="1" ht="30" customHeight="1" x14ac:dyDescent="0.2">
      <c r="B135" s="625"/>
      <c r="C135" s="626"/>
      <c r="D135" s="626"/>
      <c r="E135" s="626"/>
      <c r="F135" s="626"/>
      <c r="G135" s="626"/>
      <c r="H135" s="626"/>
      <c r="I135" s="626"/>
      <c r="J135" s="626"/>
      <c r="K135" s="440">
        <v>81111500</v>
      </c>
      <c r="L135" s="441" t="s">
        <v>631</v>
      </c>
      <c r="M135" s="134">
        <v>44571</v>
      </c>
      <c r="N135" s="134" t="s">
        <v>585</v>
      </c>
      <c r="O135" s="157" t="s">
        <v>662</v>
      </c>
      <c r="P135" s="157" t="s">
        <v>473</v>
      </c>
      <c r="Q135" s="101">
        <v>19800000</v>
      </c>
      <c r="R135" s="443" t="s">
        <v>350</v>
      </c>
      <c r="S135" s="439"/>
      <c r="T135" s="521" t="s">
        <v>181</v>
      </c>
      <c r="U135" s="556">
        <v>7322</v>
      </c>
      <c r="V135" s="557">
        <v>44580</v>
      </c>
      <c r="W135" s="477">
        <v>19800000</v>
      </c>
      <c r="X135" s="477">
        <v>19800000</v>
      </c>
      <c r="Y135" s="477">
        <v>19800000</v>
      </c>
      <c r="Z135" s="477">
        <f t="shared" si="111"/>
        <v>0</v>
      </c>
      <c r="AA135" s="477">
        <f t="shared" si="112"/>
        <v>0</v>
      </c>
      <c r="AB135" s="477">
        <f t="shared" si="113"/>
        <v>0</v>
      </c>
    </row>
    <row r="136" spans="2:28" s="431" customFormat="1" ht="30" customHeight="1" x14ac:dyDescent="0.2">
      <c r="B136" s="625"/>
      <c r="C136" s="626"/>
      <c r="D136" s="626"/>
      <c r="E136" s="626"/>
      <c r="F136" s="626"/>
      <c r="G136" s="626"/>
      <c r="H136" s="626"/>
      <c r="I136" s="626"/>
      <c r="J136" s="626"/>
      <c r="K136" s="440">
        <v>81111500</v>
      </c>
      <c r="L136" s="441" t="s">
        <v>630</v>
      </c>
      <c r="M136" s="134">
        <v>44571</v>
      </c>
      <c r="N136" s="134" t="s">
        <v>585</v>
      </c>
      <c r="O136" s="157" t="s">
        <v>381</v>
      </c>
      <c r="P136" s="157" t="s">
        <v>473</v>
      </c>
      <c r="Q136" s="101">
        <v>50600000</v>
      </c>
      <c r="R136" s="443" t="s">
        <v>350</v>
      </c>
      <c r="S136" s="439"/>
      <c r="T136" s="521" t="s">
        <v>181</v>
      </c>
      <c r="U136" s="556">
        <v>7422</v>
      </c>
      <c r="V136" s="557">
        <v>44580</v>
      </c>
      <c r="W136" s="477">
        <v>50600000</v>
      </c>
      <c r="X136" s="477">
        <v>50600000</v>
      </c>
      <c r="Y136" s="477">
        <v>27600000</v>
      </c>
      <c r="Z136" s="477">
        <f t="shared" si="111"/>
        <v>0</v>
      </c>
      <c r="AA136" s="477">
        <f t="shared" si="112"/>
        <v>23000000</v>
      </c>
      <c r="AB136" s="477">
        <f t="shared" si="113"/>
        <v>46000000</v>
      </c>
    </row>
    <row r="137" spans="2:28" s="431" customFormat="1" ht="30" customHeight="1" x14ac:dyDescent="0.2">
      <c r="B137" s="625"/>
      <c r="C137" s="626"/>
      <c r="D137" s="626"/>
      <c r="E137" s="626"/>
      <c r="F137" s="626"/>
      <c r="G137" s="626"/>
      <c r="H137" s="626"/>
      <c r="I137" s="626"/>
      <c r="J137" s="626"/>
      <c r="K137" s="440">
        <v>82112200</v>
      </c>
      <c r="L137" s="441" t="s">
        <v>176</v>
      </c>
      <c r="M137" s="134">
        <v>44602</v>
      </c>
      <c r="N137" s="134" t="s">
        <v>486</v>
      </c>
      <c r="O137" s="157" t="s">
        <v>532</v>
      </c>
      <c r="P137" s="157" t="s">
        <v>338</v>
      </c>
      <c r="Q137" s="101">
        <v>9765000</v>
      </c>
      <c r="R137" s="443" t="s">
        <v>350</v>
      </c>
      <c r="S137" s="439"/>
      <c r="T137" s="521" t="s">
        <v>181</v>
      </c>
      <c r="U137" s="556">
        <v>1522</v>
      </c>
      <c r="V137" s="557">
        <v>44572</v>
      </c>
      <c r="W137" s="477">
        <v>9765000</v>
      </c>
      <c r="X137" s="477">
        <v>9765000</v>
      </c>
      <c r="Y137" s="477">
        <v>9563448</v>
      </c>
      <c r="Z137" s="477">
        <f t="shared" si="111"/>
        <v>0</v>
      </c>
      <c r="AA137" s="477">
        <f t="shared" si="112"/>
        <v>201552</v>
      </c>
      <c r="AB137" s="477">
        <f t="shared" si="113"/>
        <v>403104</v>
      </c>
    </row>
    <row r="138" spans="2:28" s="431" customFormat="1" ht="30" customHeight="1" x14ac:dyDescent="0.2">
      <c r="B138" s="625"/>
      <c r="C138" s="626"/>
      <c r="D138" s="626"/>
      <c r="E138" s="626"/>
      <c r="F138" s="626"/>
      <c r="G138" s="626"/>
      <c r="H138" s="626"/>
      <c r="I138" s="626"/>
      <c r="J138" s="626"/>
      <c r="K138" s="440">
        <v>82112200</v>
      </c>
      <c r="L138" s="441" t="s">
        <v>233</v>
      </c>
      <c r="M138" s="134">
        <v>44727</v>
      </c>
      <c r="N138" s="134" t="s">
        <v>582</v>
      </c>
      <c r="O138" s="157" t="s">
        <v>471</v>
      </c>
      <c r="P138" s="157" t="s">
        <v>338</v>
      </c>
      <c r="Q138" s="101">
        <v>52500000</v>
      </c>
      <c r="R138" s="443" t="s">
        <v>350</v>
      </c>
      <c r="S138" s="439"/>
      <c r="T138" s="521" t="s">
        <v>181</v>
      </c>
      <c r="U138" s="556"/>
      <c r="V138" s="557"/>
      <c r="W138" s="477"/>
      <c r="X138" s="477"/>
      <c r="Y138" s="477"/>
      <c r="Z138" s="477">
        <f t="shared" si="111"/>
        <v>52500000</v>
      </c>
      <c r="AA138" s="477">
        <f t="shared" si="112"/>
        <v>0</v>
      </c>
      <c r="AB138" s="477">
        <f t="shared" si="113"/>
        <v>52500000</v>
      </c>
    </row>
    <row r="139" spans="2:28" ht="30" x14ac:dyDescent="0.2">
      <c r="B139" s="625"/>
      <c r="C139" s="626"/>
      <c r="D139" s="626"/>
      <c r="E139" s="626"/>
      <c r="F139" s="626"/>
      <c r="G139" s="626"/>
      <c r="H139" s="626"/>
      <c r="I139" s="626"/>
      <c r="J139" s="626"/>
      <c r="K139" s="440">
        <v>82112200</v>
      </c>
      <c r="L139" s="441" t="s">
        <v>567</v>
      </c>
      <c r="M139" s="134">
        <v>44607</v>
      </c>
      <c r="N139" s="134" t="s">
        <v>470</v>
      </c>
      <c r="O139" s="157" t="s">
        <v>539</v>
      </c>
      <c r="P139" s="157" t="s">
        <v>338</v>
      </c>
      <c r="Q139" s="101">
        <v>45000000</v>
      </c>
      <c r="R139" s="401" t="s">
        <v>350</v>
      </c>
      <c r="S139" s="101"/>
      <c r="T139" s="521" t="s">
        <v>181</v>
      </c>
      <c r="U139" s="556">
        <v>1622</v>
      </c>
      <c r="V139" s="557">
        <v>44572</v>
      </c>
      <c r="W139" s="477">
        <v>45000000</v>
      </c>
      <c r="X139" s="477">
        <v>45000000</v>
      </c>
      <c r="Y139" s="477"/>
      <c r="Z139" s="477">
        <f t="shared" si="111"/>
        <v>0</v>
      </c>
      <c r="AA139" s="477">
        <f t="shared" si="112"/>
        <v>45000000</v>
      </c>
      <c r="AB139" s="477">
        <f t="shared" si="113"/>
        <v>90000000</v>
      </c>
    </row>
    <row r="140" spans="2:28" ht="30" x14ac:dyDescent="0.2">
      <c r="B140" s="625"/>
      <c r="C140" s="626"/>
      <c r="D140" s="626"/>
      <c r="E140" s="626"/>
      <c r="F140" s="626"/>
      <c r="G140" s="626"/>
      <c r="H140" s="626"/>
      <c r="I140" s="626"/>
      <c r="J140" s="626"/>
      <c r="K140" s="177">
        <v>82112200</v>
      </c>
      <c r="L140" s="400" t="s">
        <v>177</v>
      </c>
      <c r="M140" s="134">
        <v>44774</v>
      </c>
      <c r="N140" s="134" t="s">
        <v>587</v>
      </c>
      <c r="O140" s="157" t="s">
        <v>539</v>
      </c>
      <c r="P140" s="157" t="s">
        <v>338</v>
      </c>
      <c r="Q140" s="101">
        <v>42000000</v>
      </c>
      <c r="R140" s="443" t="s">
        <v>350</v>
      </c>
      <c r="S140" s="101"/>
      <c r="T140" s="521" t="s">
        <v>181</v>
      </c>
      <c r="U140" s="556"/>
      <c r="V140" s="557"/>
      <c r="W140" s="477"/>
      <c r="X140" s="477"/>
      <c r="Y140" s="477"/>
      <c r="Z140" s="477">
        <f t="shared" si="111"/>
        <v>42000000</v>
      </c>
      <c r="AA140" s="477">
        <f t="shared" si="112"/>
        <v>0</v>
      </c>
      <c r="AB140" s="477">
        <f t="shared" si="113"/>
        <v>42000000</v>
      </c>
    </row>
    <row r="141" spans="2:28" ht="60" x14ac:dyDescent="0.2">
      <c r="B141" s="625"/>
      <c r="C141" s="626"/>
      <c r="D141" s="626"/>
      <c r="E141" s="626"/>
      <c r="F141" s="626"/>
      <c r="G141" s="626"/>
      <c r="H141" s="626"/>
      <c r="I141" s="626"/>
      <c r="J141" s="626"/>
      <c r="K141" s="398">
        <v>43222501</v>
      </c>
      <c r="L141" s="400" t="s">
        <v>180</v>
      </c>
      <c r="M141" s="134">
        <v>44607</v>
      </c>
      <c r="N141" s="134" t="s">
        <v>470</v>
      </c>
      <c r="O141" s="157" t="s">
        <v>532</v>
      </c>
      <c r="P141" s="157" t="s">
        <v>535</v>
      </c>
      <c r="Q141" s="101">
        <v>52500000</v>
      </c>
      <c r="R141" s="443" t="s">
        <v>350</v>
      </c>
      <c r="S141" s="399"/>
      <c r="T141" s="521" t="s">
        <v>181</v>
      </c>
      <c r="U141" s="556">
        <v>20722</v>
      </c>
      <c r="V141" s="557">
        <v>44610</v>
      </c>
      <c r="W141" s="477">
        <v>52500000</v>
      </c>
      <c r="X141" s="477">
        <v>52500000</v>
      </c>
      <c r="Y141" s="477">
        <v>38775700</v>
      </c>
      <c r="Z141" s="477">
        <f t="shared" si="111"/>
        <v>0</v>
      </c>
      <c r="AA141" s="477">
        <f t="shared" si="112"/>
        <v>13724300</v>
      </c>
      <c r="AB141" s="477">
        <f t="shared" si="113"/>
        <v>27448600</v>
      </c>
    </row>
    <row r="142" spans="2:28" ht="27" customHeight="1" x14ac:dyDescent="0.2">
      <c r="B142" s="91" t="s">
        <v>7</v>
      </c>
      <c r="C142" s="92" t="s">
        <v>20</v>
      </c>
      <c r="D142" s="92" t="s">
        <v>20</v>
      </c>
      <c r="E142" s="92" t="s">
        <v>20</v>
      </c>
      <c r="F142" s="92" t="s">
        <v>16</v>
      </c>
      <c r="G142" s="92" t="s">
        <v>12</v>
      </c>
      <c r="H142" s="92"/>
      <c r="I142" s="92"/>
      <c r="J142" s="196"/>
      <c r="K142" s="91"/>
      <c r="L142" s="410" t="s">
        <v>101</v>
      </c>
      <c r="M142" s="132"/>
      <c r="N142" s="132"/>
      <c r="O142" s="155"/>
      <c r="P142" s="155"/>
      <c r="Q142" s="94">
        <f>+Q143+Q147</f>
        <v>52495000</v>
      </c>
      <c r="R142" s="92"/>
      <c r="S142" s="95"/>
      <c r="T142" s="528"/>
      <c r="U142" s="556"/>
      <c r="V142" s="557"/>
      <c r="W142" s="477"/>
      <c r="X142" s="477"/>
      <c r="Y142" s="477"/>
      <c r="Z142" s="477"/>
      <c r="AA142" s="477"/>
      <c r="AB142" s="477"/>
    </row>
    <row r="143" spans="2:28" ht="15" customHeight="1" x14ac:dyDescent="0.2">
      <c r="B143" s="397" t="s">
        <v>7</v>
      </c>
      <c r="C143" s="395" t="s">
        <v>20</v>
      </c>
      <c r="D143" s="395" t="s">
        <v>20</v>
      </c>
      <c r="E143" s="395" t="s">
        <v>20</v>
      </c>
      <c r="F143" s="395" t="s">
        <v>16</v>
      </c>
      <c r="G143" s="395" t="s">
        <v>12</v>
      </c>
      <c r="H143" s="395" t="s">
        <v>8</v>
      </c>
      <c r="I143" s="395"/>
      <c r="J143" s="404"/>
      <c r="K143" s="397"/>
      <c r="L143" s="403" t="s">
        <v>102</v>
      </c>
      <c r="M143" s="133"/>
      <c r="N143" s="133"/>
      <c r="O143" s="156"/>
      <c r="P143" s="156"/>
      <c r="Q143" s="5">
        <f>SUM(Q144:Q146)</f>
        <v>37900000</v>
      </c>
      <c r="R143" s="181"/>
      <c r="S143" s="396"/>
      <c r="T143" s="530"/>
      <c r="U143" s="556"/>
      <c r="V143" s="557"/>
      <c r="W143" s="477"/>
      <c r="X143" s="477"/>
      <c r="Y143" s="477"/>
      <c r="Z143" s="477"/>
      <c r="AA143" s="477"/>
      <c r="AB143" s="477"/>
    </row>
    <row r="144" spans="2:28" x14ac:dyDescent="0.2">
      <c r="B144" s="623"/>
      <c r="C144" s="624"/>
      <c r="D144" s="624"/>
      <c r="E144" s="624"/>
      <c r="F144" s="624"/>
      <c r="G144" s="624"/>
      <c r="H144" s="624"/>
      <c r="I144" s="624"/>
      <c r="J144" s="624"/>
      <c r="K144" s="398"/>
      <c r="L144" s="400" t="s">
        <v>262</v>
      </c>
      <c r="M144" s="134">
        <v>44563</v>
      </c>
      <c r="N144" s="134" t="s">
        <v>472</v>
      </c>
      <c r="O144" s="157" t="s">
        <v>301</v>
      </c>
      <c r="P144" s="157" t="s">
        <v>375</v>
      </c>
      <c r="Q144" s="101">
        <v>22000000</v>
      </c>
      <c r="R144" s="443"/>
      <c r="S144" s="423"/>
      <c r="T144" s="521" t="s">
        <v>271</v>
      </c>
      <c r="U144" s="556">
        <v>5822</v>
      </c>
      <c r="V144" s="557">
        <v>44579</v>
      </c>
      <c r="W144" s="476">
        <v>8000000</v>
      </c>
      <c r="X144" s="476">
        <v>8000000</v>
      </c>
      <c r="Y144" s="476">
        <v>8000000</v>
      </c>
      <c r="Z144" s="477">
        <f t="shared" ref="Z144:Z146" si="114">+Q144-X144</f>
        <v>14000000</v>
      </c>
      <c r="AA144" s="477">
        <f t="shared" ref="AA144:AA146" si="115">+X144-Y144</f>
        <v>0</v>
      </c>
      <c r="AB144" s="477">
        <f t="shared" ref="AB144:AB146" si="116">+Q144+AA144-Y144</f>
        <v>14000000</v>
      </c>
    </row>
    <row r="145" spans="2:28" ht="30" x14ac:dyDescent="0.2">
      <c r="B145" s="625"/>
      <c r="C145" s="626"/>
      <c r="D145" s="626"/>
      <c r="E145" s="626"/>
      <c r="F145" s="626"/>
      <c r="G145" s="626"/>
      <c r="H145" s="626"/>
      <c r="I145" s="626"/>
      <c r="J145" s="626"/>
      <c r="K145" s="398"/>
      <c r="L145" s="441" t="s">
        <v>263</v>
      </c>
      <c r="M145" s="134">
        <v>44563</v>
      </c>
      <c r="N145" s="134" t="s">
        <v>472</v>
      </c>
      <c r="O145" s="157" t="s">
        <v>301</v>
      </c>
      <c r="P145" s="157" t="s">
        <v>375</v>
      </c>
      <c r="Q145" s="101">
        <v>12000000</v>
      </c>
      <c r="R145" s="443"/>
      <c r="S145" s="399"/>
      <c r="T145" s="521" t="s">
        <v>649</v>
      </c>
      <c r="U145" s="556"/>
      <c r="V145" s="557"/>
      <c r="W145" s="477"/>
      <c r="X145" s="477"/>
      <c r="Y145" s="477"/>
      <c r="Z145" s="477">
        <f t="shared" si="114"/>
        <v>12000000</v>
      </c>
      <c r="AA145" s="477">
        <f t="shared" si="115"/>
        <v>0</v>
      </c>
      <c r="AB145" s="477">
        <f t="shared" si="116"/>
        <v>12000000</v>
      </c>
    </row>
    <row r="146" spans="2:28" ht="15" customHeight="1" x14ac:dyDescent="0.2">
      <c r="B146" s="625"/>
      <c r="C146" s="626"/>
      <c r="D146" s="626"/>
      <c r="E146" s="626"/>
      <c r="F146" s="626"/>
      <c r="G146" s="626"/>
      <c r="H146" s="626"/>
      <c r="I146" s="626"/>
      <c r="J146" s="626"/>
      <c r="K146" s="113"/>
      <c r="L146" s="441" t="s">
        <v>264</v>
      </c>
      <c r="M146" s="134" t="s">
        <v>375</v>
      </c>
      <c r="N146" s="134" t="s">
        <v>375</v>
      </c>
      <c r="O146" s="157" t="s">
        <v>375</v>
      </c>
      <c r="P146" s="157" t="s">
        <v>375</v>
      </c>
      <c r="Q146" s="101">
        <v>3900000</v>
      </c>
      <c r="R146" s="443"/>
      <c r="S146" s="423"/>
      <c r="T146" s="521"/>
      <c r="U146" s="556"/>
      <c r="V146" s="557"/>
      <c r="W146" s="476"/>
      <c r="X146" s="476"/>
      <c r="Y146" s="476"/>
      <c r="Z146" s="477">
        <f t="shared" si="114"/>
        <v>3900000</v>
      </c>
      <c r="AA146" s="477">
        <f t="shared" si="115"/>
        <v>0</v>
      </c>
      <c r="AB146" s="477">
        <f t="shared" si="116"/>
        <v>3900000</v>
      </c>
    </row>
    <row r="147" spans="2:28" ht="15" customHeight="1" x14ac:dyDescent="0.2">
      <c r="B147" s="397" t="s">
        <v>7</v>
      </c>
      <c r="C147" s="395" t="s">
        <v>20</v>
      </c>
      <c r="D147" s="395" t="s">
        <v>20</v>
      </c>
      <c r="E147" s="395" t="s">
        <v>20</v>
      </c>
      <c r="F147" s="395" t="s">
        <v>16</v>
      </c>
      <c r="G147" s="395" t="s">
        <v>12</v>
      </c>
      <c r="H147" s="395" t="s">
        <v>20</v>
      </c>
      <c r="I147" s="395"/>
      <c r="J147" s="404"/>
      <c r="K147" s="397"/>
      <c r="L147" s="403" t="s">
        <v>103</v>
      </c>
      <c r="M147" s="133"/>
      <c r="N147" s="133"/>
      <c r="O147" s="156"/>
      <c r="P147" s="156"/>
      <c r="Q147" s="5">
        <f>SUM(Q148:Q149)</f>
        <v>14595000</v>
      </c>
      <c r="R147" s="181"/>
      <c r="S147" s="396"/>
      <c r="T147" s="530"/>
      <c r="U147" s="556"/>
      <c r="V147" s="557"/>
      <c r="W147" s="477"/>
      <c r="X147" s="477"/>
      <c r="Y147" s="477"/>
      <c r="Z147" s="477"/>
      <c r="AA147" s="477"/>
      <c r="AB147" s="477"/>
    </row>
    <row r="148" spans="2:28" ht="30" customHeight="1" x14ac:dyDescent="0.2">
      <c r="B148" s="623"/>
      <c r="C148" s="624"/>
      <c r="D148" s="624"/>
      <c r="E148" s="624"/>
      <c r="F148" s="624"/>
      <c r="G148" s="624"/>
      <c r="H148" s="624"/>
      <c r="I148" s="624"/>
      <c r="J148" s="624"/>
      <c r="K148" s="438">
        <v>81112100</v>
      </c>
      <c r="L148" s="441" t="s">
        <v>597</v>
      </c>
      <c r="M148" s="134">
        <v>44571</v>
      </c>
      <c r="N148" s="134" t="s">
        <v>472</v>
      </c>
      <c r="O148" s="157" t="s">
        <v>568</v>
      </c>
      <c r="P148" s="157" t="s">
        <v>384</v>
      </c>
      <c r="Q148" s="101">
        <v>8295000</v>
      </c>
      <c r="R148" s="443" t="s">
        <v>322</v>
      </c>
      <c r="S148" s="439"/>
      <c r="T148" s="521" t="s">
        <v>181</v>
      </c>
      <c r="U148" s="556">
        <v>2422</v>
      </c>
      <c r="V148" s="557" t="s">
        <v>755</v>
      </c>
      <c r="W148" s="477">
        <v>3023790</v>
      </c>
      <c r="X148" s="477">
        <v>3023790</v>
      </c>
      <c r="Y148" s="477">
        <v>3023790</v>
      </c>
      <c r="Z148" s="477">
        <f t="shared" ref="Z148:Z149" si="117">+Q148-X148</f>
        <v>5271210</v>
      </c>
      <c r="AA148" s="477">
        <f t="shared" ref="AA148:AA149" si="118">+X148-Y148</f>
        <v>0</v>
      </c>
      <c r="AB148" s="477">
        <f t="shared" ref="AB148:AB149" si="119">+Q148+AA148-Y148</f>
        <v>5271210</v>
      </c>
    </row>
    <row r="149" spans="2:28" ht="30" customHeight="1" x14ac:dyDescent="0.2">
      <c r="B149" s="625"/>
      <c r="C149" s="626"/>
      <c r="D149" s="626"/>
      <c r="E149" s="626"/>
      <c r="F149" s="626"/>
      <c r="G149" s="626"/>
      <c r="H149" s="626"/>
      <c r="I149" s="626"/>
      <c r="J149" s="626"/>
      <c r="K149" s="438">
        <v>81112100</v>
      </c>
      <c r="L149" s="441" t="s">
        <v>596</v>
      </c>
      <c r="M149" s="134">
        <v>44571</v>
      </c>
      <c r="N149" s="134" t="s">
        <v>472</v>
      </c>
      <c r="O149" s="157" t="s">
        <v>568</v>
      </c>
      <c r="P149" s="157" t="s">
        <v>384</v>
      </c>
      <c r="Q149" s="101">
        <v>6300000</v>
      </c>
      <c r="R149" s="443" t="s">
        <v>322</v>
      </c>
      <c r="S149" s="101"/>
      <c r="T149" s="521" t="s">
        <v>181</v>
      </c>
      <c r="U149" s="556"/>
      <c r="V149" s="557"/>
      <c r="W149" s="477"/>
      <c r="X149" s="477"/>
      <c r="Y149" s="477"/>
      <c r="Z149" s="477">
        <f t="shared" si="117"/>
        <v>6300000</v>
      </c>
      <c r="AA149" s="477">
        <f t="shared" si="118"/>
        <v>0</v>
      </c>
      <c r="AB149" s="477">
        <f t="shared" si="119"/>
        <v>6300000</v>
      </c>
    </row>
    <row r="150" spans="2:28" ht="30" customHeight="1" x14ac:dyDescent="0.2">
      <c r="B150" s="91" t="s">
        <v>7</v>
      </c>
      <c r="C150" s="92" t="s">
        <v>20</v>
      </c>
      <c r="D150" s="92" t="s">
        <v>20</v>
      </c>
      <c r="E150" s="92" t="s">
        <v>20</v>
      </c>
      <c r="F150" s="92" t="s">
        <v>16</v>
      </c>
      <c r="G150" s="92" t="s">
        <v>15</v>
      </c>
      <c r="H150" s="92"/>
      <c r="I150" s="92"/>
      <c r="J150" s="196"/>
      <c r="K150" s="91"/>
      <c r="L150" s="410" t="s">
        <v>106</v>
      </c>
      <c r="M150" s="132"/>
      <c r="N150" s="132"/>
      <c r="O150" s="155"/>
      <c r="P150" s="155"/>
      <c r="Q150" s="94">
        <f>+Q151</f>
        <v>92802764</v>
      </c>
      <c r="R150" s="92"/>
      <c r="S150" s="95"/>
      <c r="T150" s="528"/>
      <c r="U150" s="556"/>
      <c r="V150" s="557"/>
      <c r="W150" s="477"/>
      <c r="X150" s="477"/>
      <c r="Y150" s="477"/>
      <c r="Z150" s="477"/>
      <c r="AA150" s="477"/>
      <c r="AB150" s="477"/>
    </row>
    <row r="151" spans="2:28" ht="30" customHeight="1" x14ac:dyDescent="0.2">
      <c r="B151" s="397" t="s">
        <v>7</v>
      </c>
      <c r="C151" s="395" t="s">
        <v>20</v>
      </c>
      <c r="D151" s="395" t="s">
        <v>20</v>
      </c>
      <c r="E151" s="395" t="s">
        <v>20</v>
      </c>
      <c r="F151" s="395" t="s">
        <v>16</v>
      </c>
      <c r="G151" s="395" t="s">
        <v>15</v>
      </c>
      <c r="H151" s="395" t="s">
        <v>8</v>
      </c>
      <c r="I151" s="395"/>
      <c r="J151" s="404"/>
      <c r="K151" s="397"/>
      <c r="L151" s="403" t="s">
        <v>107</v>
      </c>
      <c r="M151" s="133"/>
      <c r="N151" s="133"/>
      <c r="O151" s="156"/>
      <c r="P151" s="156"/>
      <c r="Q151" s="5">
        <f>+Q152+Q154+Q159</f>
        <v>92802764</v>
      </c>
      <c r="R151" s="181"/>
      <c r="S151" s="396"/>
      <c r="T151" s="530"/>
      <c r="U151" s="588"/>
      <c r="V151" s="557"/>
      <c r="W151" s="477"/>
      <c r="X151" s="477"/>
      <c r="Y151" s="477"/>
      <c r="Z151" s="477"/>
      <c r="AA151" s="477"/>
      <c r="AB151" s="477"/>
    </row>
    <row r="152" spans="2:28" ht="30" customHeight="1" x14ac:dyDescent="0.2">
      <c r="B152" s="397" t="s">
        <v>7</v>
      </c>
      <c r="C152" s="395" t="s">
        <v>20</v>
      </c>
      <c r="D152" s="395" t="s">
        <v>20</v>
      </c>
      <c r="E152" s="395" t="s">
        <v>20</v>
      </c>
      <c r="F152" s="395" t="s">
        <v>16</v>
      </c>
      <c r="G152" s="395" t="s">
        <v>15</v>
      </c>
      <c r="H152" s="395" t="s">
        <v>8</v>
      </c>
      <c r="I152" s="395" t="s">
        <v>32</v>
      </c>
      <c r="J152" s="404"/>
      <c r="K152" s="397"/>
      <c r="L152" s="403" t="s">
        <v>136</v>
      </c>
      <c r="M152" s="133"/>
      <c r="N152" s="133"/>
      <c r="O152" s="156"/>
      <c r="P152" s="156"/>
      <c r="Q152" s="5">
        <f>SUM(Q153:Q153)</f>
        <v>0</v>
      </c>
      <c r="R152" s="181"/>
      <c r="S152" s="396"/>
      <c r="T152" s="530"/>
      <c r="U152" s="589"/>
      <c r="V152" s="557"/>
      <c r="W152" s="477"/>
      <c r="X152" s="477"/>
      <c r="Y152" s="477"/>
      <c r="Z152" s="477"/>
      <c r="AA152" s="477"/>
      <c r="AB152" s="477"/>
    </row>
    <row r="153" spans="2:28" ht="75" x14ac:dyDescent="0.2">
      <c r="B153" s="623"/>
      <c r="C153" s="624"/>
      <c r="D153" s="624"/>
      <c r="E153" s="624"/>
      <c r="F153" s="624"/>
      <c r="G153" s="624"/>
      <c r="H153" s="624"/>
      <c r="I153" s="624"/>
      <c r="J153" s="624"/>
      <c r="K153" s="177"/>
      <c r="L153" s="400" t="s">
        <v>569</v>
      </c>
      <c r="M153" s="134">
        <v>44602</v>
      </c>
      <c r="N153" s="134" t="s">
        <v>470</v>
      </c>
      <c r="O153" s="157" t="s">
        <v>326</v>
      </c>
      <c r="P153" s="157" t="s">
        <v>318</v>
      </c>
      <c r="Q153" s="101">
        <v>0</v>
      </c>
      <c r="R153" s="443" t="s">
        <v>350</v>
      </c>
      <c r="S153" s="399"/>
      <c r="T153" s="521" t="s">
        <v>181</v>
      </c>
      <c r="U153" s="587"/>
      <c r="V153" s="557"/>
      <c r="W153" s="477"/>
      <c r="X153" s="477"/>
      <c r="Y153" s="477"/>
      <c r="Z153" s="477">
        <f t="shared" ref="Z153" si="120">+Q153-X153</f>
        <v>0</v>
      </c>
      <c r="AA153" s="477">
        <f t="shared" ref="AA153" si="121">+X153-Y153</f>
        <v>0</v>
      </c>
      <c r="AB153" s="477">
        <f t="shared" ref="AB153" si="122">+Q153+AA153-Y153</f>
        <v>0</v>
      </c>
    </row>
    <row r="154" spans="2:28" ht="30" customHeight="1" x14ac:dyDescent="0.2">
      <c r="B154" s="397" t="s">
        <v>7</v>
      </c>
      <c r="C154" s="395" t="s">
        <v>20</v>
      </c>
      <c r="D154" s="395" t="s">
        <v>20</v>
      </c>
      <c r="E154" s="395" t="s">
        <v>20</v>
      </c>
      <c r="F154" s="395" t="s">
        <v>16</v>
      </c>
      <c r="G154" s="395" t="s">
        <v>15</v>
      </c>
      <c r="H154" s="395" t="s">
        <v>8</v>
      </c>
      <c r="I154" s="395" t="s">
        <v>33</v>
      </c>
      <c r="J154" s="404"/>
      <c r="K154" s="397"/>
      <c r="L154" s="403" t="s">
        <v>137</v>
      </c>
      <c r="M154" s="133"/>
      <c r="N154" s="133"/>
      <c r="O154" s="156"/>
      <c r="P154" s="156"/>
      <c r="Q154" s="5">
        <f>SUM(Q155:Q158)</f>
        <v>41758709</v>
      </c>
      <c r="R154" s="181"/>
      <c r="S154" s="396"/>
      <c r="T154" s="530"/>
      <c r="U154" s="590"/>
      <c r="V154" s="557"/>
      <c r="W154" s="477"/>
      <c r="X154" s="477"/>
      <c r="Y154" s="477"/>
      <c r="Z154" s="477"/>
      <c r="AA154" s="477"/>
      <c r="AB154" s="477"/>
    </row>
    <row r="155" spans="2:28" ht="75" x14ac:dyDescent="0.2">
      <c r="B155" s="623"/>
      <c r="C155" s="624"/>
      <c r="D155" s="624"/>
      <c r="E155" s="624"/>
      <c r="F155" s="624"/>
      <c r="G155" s="624"/>
      <c r="H155" s="624"/>
      <c r="I155" s="624"/>
      <c r="J155" s="624"/>
      <c r="K155" s="440" t="s">
        <v>315</v>
      </c>
      <c r="L155" s="441" t="s">
        <v>645</v>
      </c>
      <c r="M155" s="134">
        <v>44581</v>
      </c>
      <c r="N155" s="134" t="s">
        <v>472</v>
      </c>
      <c r="O155" s="157" t="s">
        <v>650</v>
      </c>
      <c r="P155" s="134" t="s">
        <v>546</v>
      </c>
      <c r="Q155" s="101">
        <v>13247850</v>
      </c>
      <c r="R155" s="443" t="s">
        <v>350</v>
      </c>
      <c r="S155" s="439"/>
      <c r="T155" s="521" t="s">
        <v>221</v>
      </c>
      <c r="U155" s="556">
        <v>7222</v>
      </c>
      <c r="V155" s="637">
        <v>44580</v>
      </c>
      <c r="W155" s="635">
        <f>13247850+600000</f>
        <v>13847850</v>
      </c>
      <c r="X155" s="635">
        <f>13247850+600000</f>
        <v>13847850</v>
      </c>
      <c r="Y155" s="635">
        <v>12647850</v>
      </c>
      <c r="Z155" s="635">
        <f>+Q155+Q156-X155</f>
        <v>0</v>
      </c>
      <c r="AA155" s="635">
        <f>+X155-Y155</f>
        <v>1200000</v>
      </c>
      <c r="AB155" s="635">
        <f>+Q155+Q156+AA155-Y155</f>
        <v>2400000</v>
      </c>
    </row>
    <row r="156" spans="2:28" s="431" customFormat="1" ht="60" x14ac:dyDescent="0.2">
      <c r="B156" s="625"/>
      <c r="C156" s="626"/>
      <c r="D156" s="626"/>
      <c r="E156" s="626"/>
      <c r="F156" s="626"/>
      <c r="G156" s="626"/>
      <c r="H156" s="626"/>
      <c r="I156" s="626"/>
      <c r="J156" s="626"/>
      <c r="K156" s="440" t="s">
        <v>591</v>
      </c>
      <c r="L156" s="441" t="s">
        <v>592</v>
      </c>
      <c r="M156" s="134">
        <v>44581</v>
      </c>
      <c r="N156" s="134" t="s">
        <v>472</v>
      </c>
      <c r="O156" s="157" t="s">
        <v>650</v>
      </c>
      <c r="P156" s="134" t="s">
        <v>546</v>
      </c>
      <c r="Q156" s="101">
        <v>600000</v>
      </c>
      <c r="R156" s="443"/>
      <c r="S156" s="101"/>
      <c r="T156" s="521" t="s">
        <v>221</v>
      </c>
      <c r="U156" s="556">
        <v>7222</v>
      </c>
      <c r="V156" s="638"/>
      <c r="W156" s="636"/>
      <c r="X156" s="636"/>
      <c r="Y156" s="636"/>
      <c r="Z156" s="636"/>
      <c r="AA156" s="636"/>
      <c r="AB156" s="636"/>
    </row>
    <row r="157" spans="2:28" ht="72" customHeight="1" x14ac:dyDescent="0.2">
      <c r="B157" s="625"/>
      <c r="C157" s="626"/>
      <c r="D157" s="626"/>
      <c r="E157" s="626"/>
      <c r="F157" s="626"/>
      <c r="G157" s="626"/>
      <c r="H157" s="626"/>
      <c r="I157" s="626"/>
      <c r="J157" s="626"/>
      <c r="K157" s="440" t="s">
        <v>315</v>
      </c>
      <c r="L157" s="441" t="s">
        <v>601</v>
      </c>
      <c r="M157" s="134" t="s">
        <v>651</v>
      </c>
      <c r="N157" s="134" t="s">
        <v>528</v>
      </c>
      <c r="O157" s="157" t="s">
        <v>299</v>
      </c>
      <c r="P157" s="157" t="s">
        <v>317</v>
      </c>
      <c r="Q157" s="101">
        <v>7910859</v>
      </c>
      <c r="R157" s="443" t="s">
        <v>322</v>
      </c>
      <c r="S157" s="493">
        <v>15821718</v>
      </c>
      <c r="T157" s="521" t="s">
        <v>221</v>
      </c>
      <c r="U157" s="588"/>
      <c r="V157" s="557"/>
      <c r="W157" s="477"/>
      <c r="X157" s="477"/>
      <c r="Y157" s="477"/>
      <c r="Z157" s="477">
        <f>+Q157-X157</f>
        <v>7910859</v>
      </c>
      <c r="AA157" s="477">
        <f t="shared" ref="AA157:AA158" si="123">+X157-Y157</f>
        <v>0</v>
      </c>
      <c r="AB157" s="477">
        <f t="shared" ref="AB157:AB158" si="124">+Q157+AA157-Y157</f>
        <v>7910859</v>
      </c>
    </row>
    <row r="158" spans="2:28" s="431" customFormat="1" ht="72" customHeight="1" x14ac:dyDescent="0.2">
      <c r="B158" s="625"/>
      <c r="C158" s="626"/>
      <c r="D158" s="626"/>
      <c r="E158" s="626"/>
      <c r="F158" s="626"/>
      <c r="G158" s="626"/>
      <c r="H158" s="626"/>
      <c r="I158" s="626"/>
      <c r="J158" s="626"/>
      <c r="K158" s="440" t="s">
        <v>634</v>
      </c>
      <c r="L158" s="441" t="s">
        <v>265</v>
      </c>
      <c r="M158" s="134">
        <v>44582</v>
      </c>
      <c r="N158" s="134" t="s">
        <v>470</v>
      </c>
      <c r="O158" s="157" t="s">
        <v>301</v>
      </c>
      <c r="P158" s="157" t="s">
        <v>318</v>
      </c>
      <c r="Q158" s="101">
        <v>20000000</v>
      </c>
      <c r="R158" s="443"/>
      <c r="S158" s="439"/>
      <c r="T158" s="521" t="s">
        <v>572</v>
      </c>
      <c r="U158" s="556">
        <v>3322</v>
      </c>
      <c r="V158" s="557">
        <v>44573</v>
      </c>
      <c r="W158" s="477">
        <v>20000000</v>
      </c>
      <c r="X158" s="477">
        <v>20000000</v>
      </c>
      <c r="Y158" s="477"/>
      <c r="Z158" s="477">
        <f t="shared" ref="Z158" si="125">+Q158-X158</f>
        <v>0</v>
      </c>
      <c r="AA158" s="477">
        <f t="shared" si="123"/>
        <v>20000000</v>
      </c>
      <c r="AB158" s="477">
        <f t="shared" si="124"/>
        <v>40000000</v>
      </c>
    </row>
    <row r="159" spans="2:28" ht="30" customHeight="1" x14ac:dyDescent="0.2">
      <c r="B159" s="397" t="s">
        <v>7</v>
      </c>
      <c r="C159" s="395" t="s">
        <v>20</v>
      </c>
      <c r="D159" s="395" t="s">
        <v>20</v>
      </c>
      <c r="E159" s="395" t="s">
        <v>20</v>
      </c>
      <c r="F159" s="395" t="s">
        <v>16</v>
      </c>
      <c r="G159" s="395" t="s">
        <v>15</v>
      </c>
      <c r="H159" s="395" t="s">
        <v>8</v>
      </c>
      <c r="I159" s="395" t="s">
        <v>34</v>
      </c>
      <c r="J159" s="404"/>
      <c r="K159" s="397"/>
      <c r="L159" s="403" t="s">
        <v>108</v>
      </c>
      <c r="M159" s="133"/>
      <c r="N159" s="133"/>
      <c r="O159" s="156"/>
      <c r="P159" s="156"/>
      <c r="Q159" s="5">
        <f>SUM(Q160:Q164)</f>
        <v>51044055</v>
      </c>
      <c r="R159" s="181"/>
      <c r="S159" s="396"/>
      <c r="T159" s="530"/>
      <c r="U159" s="556"/>
      <c r="V159" s="557"/>
      <c r="W159" s="477"/>
      <c r="X159" s="477"/>
      <c r="Y159" s="477"/>
      <c r="Z159" s="477"/>
      <c r="AA159" s="477"/>
      <c r="AB159" s="477"/>
    </row>
    <row r="160" spans="2:28" s="394" customFormat="1" ht="60" x14ac:dyDescent="0.2">
      <c r="B160" s="623"/>
      <c r="C160" s="624"/>
      <c r="D160" s="624"/>
      <c r="E160" s="624"/>
      <c r="F160" s="624"/>
      <c r="G160" s="624"/>
      <c r="H160" s="624"/>
      <c r="I160" s="624"/>
      <c r="J160" s="624"/>
      <c r="K160" s="440" t="s">
        <v>316</v>
      </c>
      <c r="L160" s="441" t="s">
        <v>502</v>
      </c>
      <c r="M160" s="134">
        <v>44713</v>
      </c>
      <c r="N160" s="134" t="s">
        <v>575</v>
      </c>
      <c r="O160" s="157" t="s">
        <v>337</v>
      </c>
      <c r="P160" s="157" t="s">
        <v>648</v>
      </c>
      <c r="Q160" s="493">
        <v>5300000</v>
      </c>
      <c r="R160" s="443" t="s">
        <v>350</v>
      </c>
      <c r="S160" s="439"/>
      <c r="T160" s="521" t="s">
        <v>221</v>
      </c>
      <c r="U160" s="556"/>
      <c r="V160" s="557"/>
      <c r="W160" s="477"/>
      <c r="X160" s="477"/>
      <c r="Y160" s="477"/>
      <c r="Z160" s="477">
        <f t="shared" ref="Z160:Z164" si="126">+Q160-X160</f>
        <v>5300000</v>
      </c>
      <c r="AA160" s="477">
        <f t="shared" ref="AA160:AA164" si="127">+X160-Y160</f>
        <v>0</v>
      </c>
      <c r="AB160" s="477">
        <f t="shared" ref="AB160:AB164" si="128">+Q160+AA160-Y160</f>
        <v>5300000</v>
      </c>
    </row>
    <row r="161" spans="2:28" s="431" customFormat="1" ht="75" x14ac:dyDescent="0.2">
      <c r="B161" s="446"/>
      <c r="C161" s="447"/>
      <c r="D161" s="447"/>
      <c r="E161" s="447"/>
      <c r="F161" s="447"/>
      <c r="G161" s="447"/>
      <c r="H161" s="447"/>
      <c r="I161" s="447"/>
      <c r="J161" s="447"/>
      <c r="K161" s="440">
        <v>72154100</v>
      </c>
      <c r="L161" s="441" t="s">
        <v>602</v>
      </c>
      <c r="M161" s="134">
        <v>44640</v>
      </c>
      <c r="N161" s="134" t="s">
        <v>467</v>
      </c>
      <c r="O161" s="134" t="s">
        <v>301</v>
      </c>
      <c r="P161" s="134" t="s">
        <v>546</v>
      </c>
      <c r="Q161" s="493">
        <f>13060170-3000000</f>
        <v>10060170</v>
      </c>
      <c r="R161" s="443" t="s">
        <v>322</v>
      </c>
      <c r="S161" s="493">
        <v>19590254</v>
      </c>
      <c r="T161" s="521" t="s">
        <v>221</v>
      </c>
      <c r="U161" s="556"/>
      <c r="V161" s="557"/>
      <c r="W161" s="477"/>
      <c r="X161" s="477"/>
      <c r="Y161" s="477"/>
      <c r="Z161" s="477">
        <f t="shared" si="126"/>
        <v>10060170</v>
      </c>
      <c r="AA161" s="477">
        <f t="shared" si="127"/>
        <v>0</v>
      </c>
      <c r="AB161" s="477">
        <f t="shared" si="128"/>
        <v>10060170</v>
      </c>
    </row>
    <row r="162" spans="2:28" s="431" customFormat="1" ht="90" x14ac:dyDescent="0.2">
      <c r="B162" s="446"/>
      <c r="C162" s="447"/>
      <c r="D162" s="447"/>
      <c r="E162" s="447"/>
      <c r="F162" s="447"/>
      <c r="G162" s="447"/>
      <c r="H162" s="447"/>
      <c r="I162" s="447"/>
      <c r="J162" s="447"/>
      <c r="K162" s="440">
        <v>72154100</v>
      </c>
      <c r="L162" s="441" t="s">
        <v>603</v>
      </c>
      <c r="M162" s="134" t="s">
        <v>652</v>
      </c>
      <c r="N162" s="134" t="s">
        <v>652</v>
      </c>
      <c r="O162" s="134" t="s">
        <v>652</v>
      </c>
      <c r="P162" s="134" t="s">
        <v>652</v>
      </c>
      <c r="Q162" s="101">
        <f>4483885+3000000</f>
        <v>7483885</v>
      </c>
      <c r="R162" s="443" t="s">
        <v>350</v>
      </c>
      <c r="S162" s="439"/>
      <c r="T162" s="521" t="s">
        <v>221</v>
      </c>
      <c r="U162" s="556">
        <v>2722</v>
      </c>
      <c r="V162" s="557">
        <v>44572</v>
      </c>
      <c r="W162" s="477">
        <v>4483885</v>
      </c>
      <c r="X162" s="477">
        <f>7483885</f>
        <v>7483885</v>
      </c>
      <c r="Y162" s="477">
        <v>7483885</v>
      </c>
      <c r="Z162" s="477">
        <f t="shared" si="126"/>
        <v>0</v>
      </c>
      <c r="AA162" s="477">
        <f t="shared" si="127"/>
        <v>0</v>
      </c>
      <c r="AB162" s="477">
        <f t="shared" si="128"/>
        <v>0</v>
      </c>
    </row>
    <row r="163" spans="2:28" s="431" customFormat="1" ht="60" x14ac:dyDescent="0.2">
      <c r="B163" s="446"/>
      <c r="C163" s="447"/>
      <c r="D163" s="447"/>
      <c r="E163" s="447"/>
      <c r="F163" s="447"/>
      <c r="G163" s="447"/>
      <c r="H163" s="447"/>
      <c r="I163" s="447"/>
      <c r="J163" s="447"/>
      <c r="K163" s="440">
        <v>72154100</v>
      </c>
      <c r="L163" s="441" t="s">
        <v>604</v>
      </c>
      <c r="M163" s="134">
        <v>44652</v>
      </c>
      <c r="N163" s="134" t="s">
        <v>528</v>
      </c>
      <c r="O163" s="157" t="s">
        <v>331</v>
      </c>
      <c r="P163" s="157" t="s">
        <v>555</v>
      </c>
      <c r="Q163" s="493">
        <v>25000000</v>
      </c>
      <c r="R163" s="443" t="s">
        <v>386</v>
      </c>
      <c r="S163" s="439"/>
      <c r="T163" s="521" t="s">
        <v>221</v>
      </c>
      <c r="U163" s="556"/>
      <c r="V163" s="557"/>
      <c r="W163" s="477"/>
      <c r="X163" s="477"/>
      <c r="Y163" s="477"/>
      <c r="Z163" s="477">
        <f t="shared" si="126"/>
        <v>25000000</v>
      </c>
      <c r="AA163" s="477">
        <f t="shared" si="127"/>
        <v>0</v>
      </c>
      <c r="AB163" s="477">
        <f t="shared" si="128"/>
        <v>25000000</v>
      </c>
    </row>
    <row r="164" spans="2:28" x14ac:dyDescent="0.2">
      <c r="B164" s="625"/>
      <c r="C164" s="626"/>
      <c r="D164" s="626"/>
      <c r="E164" s="626"/>
      <c r="F164" s="626"/>
      <c r="G164" s="626"/>
      <c r="H164" s="626"/>
      <c r="I164" s="626"/>
      <c r="J164" s="626"/>
      <c r="K164" s="438"/>
      <c r="L164" s="441" t="s">
        <v>266</v>
      </c>
      <c r="M164" s="134"/>
      <c r="N164" s="134"/>
      <c r="O164" s="157"/>
      <c r="P164" s="157"/>
      <c r="Q164" s="101">
        <v>3200000</v>
      </c>
      <c r="R164" s="443"/>
      <c r="S164" s="439"/>
      <c r="T164" s="521"/>
      <c r="U164" s="556"/>
      <c r="V164" s="557"/>
      <c r="W164" s="477"/>
      <c r="X164" s="477"/>
      <c r="Y164" s="477"/>
      <c r="Z164" s="477">
        <f t="shared" si="126"/>
        <v>3200000</v>
      </c>
      <c r="AA164" s="477">
        <f t="shared" si="127"/>
        <v>0</v>
      </c>
      <c r="AB164" s="477">
        <f t="shared" si="128"/>
        <v>3200000</v>
      </c>
    </row>
    <row r="165" spans="2:28" ht="15" customHeight="1" x14ac:dyDescent="0.2">
      <c r="B165" s="13" t="s">
        <v>7</v>
      </c>
      <c r="C165" s="14" t="s">
        <v>20</v>
      </c>
      <c r="D165" s="14" t="s">
        <v>20</v>
      </c>
      <c r="E165" s="14" t="s">
        <v>20</v>
      </c>
      <c r="F165" s="14" t="s">
        <v>17</v>
      </c>
      <c r="G165" s="14"/>
      <c r="H165" s="14"/>
      <c r="I165" s="14"/>
      <c r="J165" s="195"/>
      <c r="K165" s="13"/>
      <c r="L165" s="409" t="s">
        <v>111</v>
      </c>
      <c r="M165" s="131"/>
      <c r="N165" s="131"/>
      <c r="O165" s="154"/>
      <c r="P165" s="154"/>
      <c r="Q165" s="16">
        <f>+Q166+Q178+Q170+Q174</f>
        <v>467000000</v>
      </c>
      <c r="R165" s="14"/>
      <c r="S165" s="17"/>
      <c r="T165" s="527"/>
      <c r="U165" s="556"/>
      <c r="V165" s="557"/>
      <c r="W165" s="477"/>
      <c r="X165" s="477"/>
      <c r="Y165" s="477"/>
      <c r="Z165" s="477"/>
      <c r="AA165" s="477"/>
      <c r="AB165" s="477"/>
    </row>
    <row r="166" spans="2:28" ht="15" customHeight="1" x14ac:dyDescent="0.2">
      <c r="B166" s="91" t="s">
        <v>7</v>
      </c>
      <c r="C166" s="92" t="s">
        <v>20</v>
      </c>
      <c r="D166" s="92" t="s">
        <v>20</v>
      </c>
      <c r="E166" s="92" t="s">
        <v>20</v>
      </c>
      <c r="F166" s="92" t="s">
        <v>17</v>
      </c>
      <c r="G166" s="92" t="s">
        <v>10</v>
      </c>
      <c r="H166" s="92"/>
      <c r="I166" s="92"/>
      <c r="J166" s="196"/>
      <c r="K166" s="91"/>
      <c r="L166" s="410" t="s">
        <v>112</v>
      </c>
      <c r="M166" s="132"/>
      <c r="N166" s="132"/>
      <c r="O166" s="155"/>
      <c r="P166" s="155"/>
      <c r="Q166" s="94">
        <f>+Q167</f>
        <v>55000000</v>
      </c>
      <c r="R166" s="92"/>
      <c r="S166" s="95"/>
      <c r="T166" s="528"/>
      <c r="U166" s="556"/>
      <c r="V166" s="557"/>
      <c r="W166" s="477"/>
      <c r="X166" s="477"/>
      <c r="Y166" s="477"/>
      <c r="Z166" s="477"/>
      <c r="AA166" s="477"/>
      <c r="AB166" s="477"/>
    </row>
    <row r="167" spans="2:28" ht="15" customHeight="1" x14ac:dyDescent="0.2">
      <c r="B167" s="397" t="s">
        <v>7</v>
      </c>
      <c r="C167" s="395" t="s">
        <v>20</v>
      </c>
      <c r="D167" s="395" t="s">
        <v>20</v>
      </c>
      <c r="E167" s="395" t="s">
        <v>20</v>
      </c>
      <c r="F167" s="395" t="s">
        <v>17</v>
      </c>
      <c r="G167" s="395" t="s">
        <v>10</v>
      </c>
      <c r="H167" s="395" t="s">
        <v>31</v>
      </c>
      <c r="I167" s="395"/>
      <c r="J167" s="404"/>
      <c r="K167" s="397"/>
      <c r="L167" s="403" t="s">
        <v>113</v>
      </c>
      <c r="M167" s="133"/>
      <c r="N167" s="133"/>
      <c r="O167" s="156"/>
      <c r="P167" s="156"/>
      <c r="Q167" s="5">
        <f>SUM(Q168:Q169)</f>
        <v>55000000</v>
      </c>
      <c r="R167" s="181"/>
      <c r="S167" s="396"/>
      <c r="T167" s="530"/>
      <c r="U167" s="556"/>
      <c r="V167" s="557"/>
      <c r="W167" s="477"/>
      <c r="X167" s="477"/>
      <c r="Y167" s="477"/>
      <c r="Z167" s="477"/>
      <c r="AA167" s="477"/>
      <c r="AB167" s="477"/>
    </row>
    <row r="168" spans="2:28" ht="30" x14ac:dyDescent="0.2">
      <c r="B168" s="623"/>
      <c r="C168" s="624"/>
      <c r="D168" s="624"/>
      <c r="E168" s="624"/>
      <c r="F168" s="624"/>
      <c r="G168" s="624"/>
      <c r="H168" s="624"/>
      <c r="I168" s="624"/>
      <c r="J168" s="624"/>
      <c r="K168" s="440" t="s">
        <v>527</v>
      </c>
      <c r="L168" s="441" t="s">
        <v>621</v>
      </c>
      <c r="M168" s="134">
        <v>44573</v>
      </c>
      <c r="N168" s="134" t="s">
        <v>472</v>
      </c>
      <c r="O168" s="157" t="s">
        <v>529</v>
      </c>
      <c r="P168" s="157" t="s">
        <v>338</v>
      </c>
      <c r="Q168" s="101">
        <v>40000000</v>
      </c>
      <c r="R168" s="401"/>
      <c r="S168" s="399"/>
      <c r="T168" s="521" t="s">
        <v>194</v>
      </c>
      <c r="U168" s="556"/>
      <c r="V168" s="557"/>
      <c r="W168" s="477"/>
      <c r="X168" s="477"/>
      <c r="Y168" s="477"/>
      <c r="Z168" s="477">
        <f t="shared" ref="Z168:Z169" si="129">+Q168-X168</f>
        <v>40000000</v>
      </c>
      <c r="AA168" s="477">
        <f t="shared" ref="AA168:AA169" si="130">+X168-Y168</f>
        <v>0</v>
      </c>
      <c r="AB168" s="477">
        <f t="shared" ref="AB168:AB169" si="131">+Q168+AA168-Y168</f>
        <v>40000000</v>
      </c>
    </row>
    <row r="169" spans="2:28" ht="15" customHeight="1" x14ac:dyDescent="0.2">
      <c r="B169" s="625"/>
      <c r="C169" s="626"/>
      <c r="D169" s="626"/>
      <c r="E169" s="626"/>
      <c r="F169" s="626"/>
      <c r="G169" s="626"/>
      <c r="H169" s="626"/>
      <c r="I169" s="626"/>
      <c r="J169" s="626"/>
      <c r="K169" s="438"/>
      <c r="L169" s="441" t="s">
        <v>191</v>
      </c>
      <c r="M169" s="134">
        <v>44576</v>
      </c>
      <c r="N169" s="157" t="s">
        <v>375</v>
      </c>
      <c r="O169" s="157" t="s">
        <v>375</v>
      </c>
      <c r="P169" s="157" t="s">
        <v>375</v>
      </c>
      <c r="Q169" s="101">
        <v>15000000</v>
      </c>
      <c r="R169" s="401"/>
      <c r="S169" s="399"/>
      <c r="T169" s="521" t="s">
        <v>194</v>
      </c>
      <c r="U169" s="556"/>
      <c r="V169" s="557"/>
      <c r="W169" s="477"/>
      <c r="X169" s="477"/>
      <c r="Y169" s="477"/>
      <c r="Z169" s="477">
        <f t="shared" si="129"/>
        <v>15000000</v>
      </c>
      <c r="AA169" s="477">
        <f t="shared" si="130"/>
        <v>0</v>
      </c>
      <c r="AB169" s="477">
        <f t="shared" si="131"/>
        <v>15000000</v>
      </c>
    </row>
    <row r="170" spans="2:28" ht="30" x14ac:dyDescent="0.2">
      <c r="B170" s="91" t="s">
        <v>7</v>
      </c>
      <c r="C170" s="92" t="s">
        <v>20</v>
      </c>
      <c r="D170" s="92" t="s">
        <v>20</v>
      </c>
      <c r="E170" s="92" t="s">
        <v>20</v>
      </c>
      <c r="F170" s="92" t="s">
        <v>17</v>
      </c>
      <c r="G170" s="92" t="s">
        <v>11</v>
      </c>
      <c r="H170" s="92"/>
      <c r="I170" s="92"/>
      <c r="J170" s="196"/>
      <c r="K170" s="91"/>
      <c r="L170" s="410" t="s">
        <v>144</v>
      </c>
      <c r="M170" s="132"/>
      <c r="N170" s="132"/>
      <c r="O170" s="155"/>
      <c r="P170" s="155"/>
      <c r="Q170" s="94">
        <f>+Q171</f>
        <v>35000000</v>
      </c>
      <c r="R170" s="92"/>
      <c r="S170" s="95"/>
      <c r="T170" s="528"/>
      <c r="U170" s="556"/>
      <c r="V170" s="557"/>
      <c r="W170" s="477"/>
      <c r="X170" s="477"/>
      <c r="Y170" s="477"/>
      <c r="Z170" s="477"/>
      <c r="AA170" s="477"/>
      <c r="AB170" s="477"/>
    </row>
    <row r="171" spans="2:28" ht="15" customHeight="1" x14ac:dyDescent="0.2">
      <c r="B171" s="397" t="s">
        <v>7</v>
      </c>
      <c r="C171" s="395" t="s">
        <v>20</v>
      </c>
      <c r="D171" s="395" t="s">
        <v>20</v>
      </c>
      <c r="E171" s="395" t="s">
        <v>20</v>
      </c>
      <c r="F171" s="395" t="s">
        <v>17</v>
      </c>
      <c r="G171" s="395" t="s">
        <v>11</v>
      </c>
      <c r="H171" s="395" t="s">
        <v>8</v>
      </c>
      <c r="I171" s="395"/>
      <c r="J171" s="404"/>
      <c r="K171" s="397"/>
      <c r="L171" s="403" t="s">
        <v>145</v>
      </c>
      <c r="M171" s="133"/>
      <c r="N171" s="133"/>
      <c r="O171" s="156"/>
      <c r="P171" s="156"/>
      <c r="Q171" s="5">
        <f>SUM(Q172:Q173)</f>
        <v>35000000</v>
      </c>
      <c r="R171" s="181"/>
      <c r="S171" s="396"/>
      <c r="T171" s="530"/>
      <c r="U171" s="556"/>
      <c r="V171" s="557"/>
      <c r="W171" s="477"/>
      <c r="X171" s="477"/>
      <c r="Y171" s="477"/>
      <c r="Z171" s="477"/>
      <c r="AA171" s="477"/>
      <c r="AB171" s="477"/>
    </row>
    <row r="172" spans="2:28" ht="60" customHeight="1" x14ac:dyDescent="0.2">
      <c r="B172" s="623"/>
      <c r="C172" s="624"/>
      <c r="D172" s="624"/>
      <c r="E172" s="624"/>
      <c r="F172" s="624"/>
      <c r="G172" s="624"/>
      <c r="H172" s="624"/>
      <c r="I172" s="624"/>
      <c r="J172" s="646"/>
      <c r="K172" s="440" t="s">
        <v>530</v>
      </c>
      <c r="L172" s="441" t="s">
        <v>531</v>
      </c>
      <c r="M172" s="134">
        <v>44576</v>
      </c>
      <c r="N172" s="134" t="s">
        <v>470</v>
      </c>
      <c r="O172" s="157" t="s">
        <v>532</v>
      </c>
      <c r="P172" s="157" t="s">
        <v>340</v>
      </c>
      <c r="Q172" s="101">
        <v>0</v>
      </c>
      <c r="R172" s="443"/>
      <c r="S172" s="399"/>
      <c r="T172" s="521" t="s">
        <v>194</v>
      </c>
      <c r="U172" s="556"/>
      <c r="V172" s="557"/>
      <c r="W172" s="477"/>
      <c r="X172" s="477"/>
      <c r="Y172" s="477"/>
      <c r="Z172" s="477">
        <f t="shared" ref="Z172:Z173" si="132">+Q172-X172</f>
        <v>0</v>
      </c>
      <c r="AA172" s="477">
        <f t="shared" ref="AA172:AA173" si="133">+X172-Y172</f>
        <v>0</v>
      </c>
      <c r="AB172" s="477">
        <f t="shared" ref="AB172:AB173" si="134">+Q172+AA172-Y172</f>
        <v>0</v>
      </c>
    </row>
    <row r="173" spans="2:28" s="431" customFormat="1" ht="180" x14ac:dyDescent="0.2">
      <c r="B173" s="648"/>
      <c r="C173" s="649"/>
      <c r="D173" s="649"/>
      <c r="E173" s="649"/>
      <c r="F173" s="649"/>
      <c r="G173" s="649"/>
      <c r="H173" s="649"/>
      <c r="I173" s="649"/>
      <c r="J173" s="650"/>
      <c r="K173" s="440" t="s">
        <v>549</v>
      </c>
      <c r="L173" s="441" t="s">
        <v>550</v>
      </c>
      <c r="M173" s="134">
        <v>44607</v>
      </c>
      <c r="N173" s="134" t="s">
        <v>467</v>
      </c>
      <c r="O173" s="157" t="s">
        <v>551</v>
      </c>
      <c r="P173" s="157" t="s">
        <v>535</v>
      </c>
      <c r="Q173" s="101">
        <v>35000000</v>
      </c>
      <c r="R173" s="443" t="s">
        <v>350</v>
      </c>
      <c r="S173" s="439"/>
      <c r="T173" s="521" t="s">
        <v>536</v>
      </c>
      <c r="U173" s="556"/>
      <c r="V173" s="557"/>
      <c r="W173" s="477"/>
      <c r="X173" s="477"/>
      <c r="Y173" s="477"/>
      <c r="Z173" s="477">
        <f t="shared" si="132"/>
        <v>35000000</v>
      </c>
      <c r="AA173" s="477">
        <f t="shared" si="133"/>
        <v>0</v>
      </c>
      <c r="AB173" s="477">
        <f t="shared" si="134"/>
        <v>35000000</v>
      </c>
    </row>
    <row r="174" spans="2:28" ht="45" customHeight="1" x14ac:dyDescent="0.2">
      <c r="B174" s="91" t="s">
        <v>7</v>
      </c>
      <c r="C174" s="92" t="s">
        <v>20</v>
      </c>
      <c r="D174" s="92" t="s">
        <v>20</v>
      </c>
      <c r="E174" s="92" t="s">
        <v>20</v>
      </c>
      <c r="F174" s="92" t="s">
        <v>17</v>
      </c>
      <c r="G174" s="92" t="s">
        <v>12</v>
      </c>
      <c r="H174" s="92"/>
      <c r="I174" s="92"/>
      <c r="J174" s="196"/>
      <c r="K174" s="91"/>
      <c r="L174" s="410" t="s">
        <v>147</v>
      </c>
      <c r="M174" s="132"/>
      <c r="N174" s="132"/>
      <c r="O174" s="155"/>
      <c r="P174" s="155"/>
      <c r="Q174" s="94">
        <f>+Q175</f>
        <v>342000000</v>
      </c>
      <c r="R174" s="92"/>
      <c r="S174" s="95"/>
      <c r="T174" s="528"/>
      <c r="U174" s="556"/>
      <c r="V174" s="557"/>
      <c r="W174" s="477"/>
      <c r="X174" s="477"/>
      <c r="Y174" s="477"/>
      <c r="Z174" s="477"/>
      <c r="AA174" s="477"/>
      <c r="AB174" s="477"/>
    </row>
    <row r="175" spans="2:28" ht="30" customHeight="1" x14ac:dyDescent="0.2">
      <c r="B175" s="397" t="s">
        <v>7</v>
      </c>
      <c r="C175" s="395" t="s">
        <v>20</v>
      </c>
      <c r="D175" s="395" t="s">
        <v>20</v>
      </c>
      <c r="E175" s="395" t="s">
        <v>20</v>
      </c>
      <c r="F175" s="395" t="s">
        <v>17</v>
      </c>
      <c r="G175" s="395" t="s">
        <v>12</v>
      </c>
      <c r="H175" s="395" t="s">
        <v>8</v>
      </c>
      <c r="I175" s="395"/>
      <c r="J175" s="404"/>
      <c r="K175" s="397"/>
      <c r="L175" s="403" t="s">
        <v>148</v>
      </c>
      <c r="M175" s="136"/>
      <c r="N175" s="136"/>
      <c r="O175" s="156"/>
      <c r="P175" s="156"/>
      <c r="Q175" s="8">
        <f>SUM(Q176:Q177)</f>
        <v>342000000</v>
      </c>
      <c r="R175" s="181"/>
      <c r="S175" s="396"/>
      <c r="T175" s="530"/>
      <c r="U175" s="556"/>
      <c r="V175" s="557"/>
      <c r="W175" s="477"/>
      <c r="X175" s="477"/>
      <c r="Y175" s="477"/>
      <c r="Z175" s="477"/>
      <c r="AA175" s="477"/>
      <c r="AB175" s="477"/>
    </row>
    <row r="176" spans="2:28" ht="120" x14ac:dyDescent="0.2">
      <c r="B176" s="623"/>
      <c r="C176" s="624"/>
      <c r="D176" s="624"/>
      <c r="E176" s="624"/>
      <c r="F176" s="624"/>
      <c r="G176" s="624"/>
      <c r="H176" s="624"/>
      <c r="I176" s="624"/>
      <c r="J176" s="624"/>
      <c r="K176" s="440" t="s">
        <v>552</v>
      </c>
      <c r="L176" s="441" t="s">
        <v>622</v>
      </c>
      <c r="M176" s="134">
        <v>44635</v>
      </c>
      <c r="N176" s="134" t="s">
        <v>467</v>
      </c>
      <c r="O176" s="157" t="s">
        <v>554</v>
      </c>
      <c r="P176" s="157" t="s">
        <v>555</v>
      </c>
      <c r="Q176" s="101">
        <f>5000000+15000000</f>
        <v>20000000</v>
      </c>
      <c r="R176" s="443"/>
      <c r="S176" s="423"/>
      <c r="T176" s="441" t="s">
        <v>598</v>
      </c>
      <c r="U176" s="556"/>
      <c r="V176" s="557"/>
      <c r="W176" s="477"/>
      <c r="X176" s="477"/>
      <c r="Y176" s="477"/>
      <c r="Z176" s="477">
        <f t="shared" ref="Z176" si="135">+Q176-X176</f>
        <v>20000000</v>
      </c>
      <c r="AA176" s="477">
        <f t="shared" ref="AA176" si="136">+X176-Y176</f>
        <v>0</v>
      </c>
      <c r="AB176" s="477">
        <f t="shared" ref="AB176" si="137">+Q176+AA176-Y176</f>
        <v>20000000</v>
      </c>
    </row>
    <row r="177" spans="2:28" s="431" customFormat="1" x14ac:dyDescent="0.2">
      <c r="B177" s="483"/>
      <c r="C177" s="484"/>
      <c r="D177" s="484"/>
      <c r="E177" s="484"/>
      <c r="F177" s="484"/>
      <c r="G177" s="484"/>
      <c r="H177" s="484"/>
      <c r="I177" s="484"/>
      <c r="J177" s="484"/>
      <c r="K177" s="438"/>
      <c r="L177" s="441" t="s">
        <v>273</v>
      </c>
      <c r="M177" s="134">
        <v>44198</v>
      </c>
      <c r="N177" s="134" t="s">
        <v>472</v>
      </c>
      <c r="O177" s="157" t="s">
        <v>301</v>
      </c>
      <c r="P177" s="157" t="s">
        <v>375</v>
      </c>
      <c r="Q177" s="101">
        <v>322000000</v>
      </c>
      <c r="R177" s="443" t="s">
        <v>386</v>
      </c>
      <c r="S177" s="439"/>
      <c r="T177" s="521" t="s">
        <v>271</v>
      </c>
      <c r="U177" s="556" t="s">
        <v>717</v>
      </c>
      <c r="V177" s="557" t="s">
        <v>717</v>
      </c>
      <c r="W177" s="477">
        <v>12628901</v>
      </c>
      <c r="X177" s="477">
        <v>12628901</v>
      </c>
      <c r="Y177" s="477"/>
      <c r="Z177" s="477">
        <f t="shared" ref="Z177" si="138">+Q177-X177</f>
        <v>309371099</v>
      </c>
      <c r="AA177" s="477">
        <f t="shared" ref="AA177" si="139">+X177-Y177</f>
        <v>12628901</v>
      </c>
      <c r="AB177" s="477">
        <f t="shared" ref="AB177" si="140">+Q177+AA177-Y177</f>
        <v>334628901</v>
      </c>
    </row>
    <row r="178" spans="2:28" ht="15" customHeight="1" x14ac:dyDescent="0.2">
      <c r="B178" s="91" t="s">
        <v>7</v>
      </c>
      <c r="C178" s="92" t="s">
        <v>20</v>
      </c>
      <c r="D178" s="92" t="s">
        <v>20</v>
      </c>
      <c r="E178" s="92" t="s">
        <v>20</v>
      </c>
      <c r="F178" s="92" t="s">
        <v>17</v>
      </c>
      <c r="G178" s="92" t="s">
        <v>14</v>
      </c>
      <c r="H178" s="92"/>
      <c r="I178" s="92"/>
      <c r="J178" s="196"/>
      <c r="K178" s="91"/>
      <c r="L178" s="410" t="s">
        <v>114</v>
      </c>
      <c r="M178" s="132"/>
      <c r="N178" s="132"/>
      <c r="O178" s="155"/>
      <c r="P178" s="155"/>
      <c r="Q178" s="94">
        <f>SUM(Q179:Q179)</f>
        <v>35000000</v>
      </c>
      <c r="R178" s="92"/>
      <c r="S178" s="95"/>
      <c r="T178" s="528"/>
      <c r="U178" s="556"/>
      <c r="V178" s="557"/>
      <c r="W178" s="477"/>
      <c r="X178" s="477"/>
      <c r="Y178" s="477"/>
      <c r="Z178" s="477"/>
      <c r="AA178" s="477"/>
      <c r="AB178" s="477"/>
    </row>
    <row r="179" spans="2:28" ht="15" customHeight="1" x14ac:dyDescent="0.2">
      <c r="B179" s="397" t="s">
        <v>7</v>
      </c>
      <c r="C179" s="395" t="s">
        <v>20</v>
      </c>
      <c r="D179" s="395" t="s">
        <v>20</v>
      </c>
      <c r="E179" s="395" t="s">
        <v>20</v>
      </c>
      <c r="F179" s="395" t="s">
        <v>17</v>
      </c>
      <c r="G179" s="395" t="s">
        <v>14</v>
      </c>
      <c r="H179" s="395" t="s">
        <v>31</v>
      </c>
      <c r="I179" s="395"/>
      <c r="J179" s="404"/>
      <c r="K179" s="397"/>
      <c r="L179" s="403" t="s">
        <v>116</v>
      </c>
      <c r="M179" s="133"/>
      <c r="N179" s="133"/>
      <c r="O179" s="156"/>
      <c r="P179" s="156"/>
      <c r="Q179" s="5">
        <f>SUM(Q180:Q180)</f>
        <v>35000000</v>
      </c>
      <c r="R179" s="181"/>
      <c r="S179" s="396"/>
      <c r="T179" s="530"/>
      <c r="U179" s="556"/>
      <c r="V179" s="557"/>
      <c r="W179" s="477"/>
      <c r="X179" s="477"/>
      <c r="Y179" s="477"/>
      <c r="Z179" s="477"/>
      <c r="AA179" s="477"/>
      <c r="AB179" s="477"/>
    </row>
    <row r="180" spans="2:28" ht="30" x14ac:dyDescent="0.2">
      <c r="B180" s="623"/>
      <c r="C180" s="624"/>
      <c r="D180" s="624"/>
      <c r="E180" s="624"/>
      <c r="F180" s="624"/>
      <c r="G180" s="624"/>
      <c r="H180" s="624"/>
      <c r="I180" s="624"/>
      <c r="J180" s="624"/>
      <c r="K180" s="438">
        <v>93141500</v>
      </c>
      <c r="L180" s="441" t="s">
        <v>192</v>
      </c>
      <c r="M180" s="134">
        <v>44864</v>
      </c>
      <c r="N180" s="134" t="s">
        <v>526</v>
      </c>
      <c r="O180" s="157" t="s">
        <v>468</v>
      </c>
      <c r="P180" s="157" t="s">
        <v>646</v>
      </c>
      <c r="Q180" s="101">
        <v>35000000</v>
      </c>
      <c r="R180" s="401"/>
      <c r="S180" s="399"/>
      <c r="T180" s="521" t="s">
        <v>194</v>
      </c>
      <c r="U180" s="556"/>
      <c r="V180" s="557"/>
      <c r="W180" s="477"/>
      <c r="X180" s="477"/>
      <c r="Y180" s="477"/>
      <c r="Z180" s="477">
        <f t="shared" ref="Z180" si="141">+Q180-X180</f>
        <v>35000000</v>
      </c>
      <c r="AA180" s="477">
        <f t="shared" ref="AA180" si="142">+X180-Y180</f>
        <v>0</v>
      </c>
      <c r="AB180" s="477">
        <f t="shared" ref="AB180" si="143">+Q180+AA180-Y180</f>
        <v>35000000</v>
      </c>
    </row>
    <row r="181" spans="2:28" ht="15" customHeight="1" x14ac:dyDescent="0.2">
      <c r="B181" s="13" t="s">
        <v>7</v>
      </c>
      <c r="C181" s="14" t="s">
        <v>20</v>
      </c>
      <c r="D181" s="14" t="s">
        <v>20</v>
      </c>
      <c r="E181" s="14" t="s">
        <v>20</v>
      </c>
      <c r="F181" s="14" t="s">
        <v>18</v>
      </c>
      <c r="G181" s="14"/>
      <c r="H181" s="14"/>
      <c r="I181" s="14"/>
      <c r="J181" s="195"/>
      <c r="K181" s="13"/>
      <c r="L181" s="409" t="s">
        <v>19</v>
      </c>
      <c r="M181" s="131"/>
      <c r="N181" s="131"/>
      <c r="O181" s="154"/>
      <c r="P181" s="154"/>
      <c r="Q181" s="16">
        <f>SUM(Q182)</f>
        <v>50000000</v>
      </c>
      <c r="R181" s="14"/>
      <c r="S181" s="17"/>
      <c r="T181" s="527"/>
      <c r="U181" s="556"/>
      <c r="V181" s="557"/>
      <c r="W181" s="477"/>
      <c r="X181" s="477"/>
      <c r="Y181" s="477"/>
      <c r="Z181" s="477"/>
      <c r="AA181" s="477"/>
      <c r="AB181" s="477"/>
    </row>
    <row r="182" spans="2:28" x14ac:dyDescent="0.2">
      <c r="B182" s="632"/>
      <c r="C182" s="633"/>
      <c r="D182" s="633"/>
      <c r="E182" s="633"/>
      <c r="F182" s="633"/>
      <c r="G182" s="633"/>
      <c r="H182" s="633"/>
      <c r="I182" s="633"/>
      <c r="J182" s="633"/>
      <c r="K182" s="398"/>
      <c r="L182" s="400" t="s">
        <v>19</v>
      </c>
      <c r="M182" s="134"/>
      <c r="N182" s="134"/>
      <c r="O182" s="157"/>
      <c r="P182" s="157"/>
      <c r="Q182" s="101">
        <v>50000000</v>
      </c>
      <c r="R182" s="443"/>
      <c r="S182" s="399"/>
      <c r="T182" s="521"/>
      <c r="U182" s="556"/>
      <c r="V182" s="557"/>
      <c r="W182" s="477"/>
      <c r="X182" s="477"/>
      <c r="Y182" s="477"/>
      <c r="Z182" s="477">
        <f t="shared" ref="Z182" si="144">+Q182-X182</f>
        <v>50000000</v>
      </c>
      <c r="AA182" s="477">
        <f t="shared" ref="AA182" si="145">+X182-Y182</f>
        <v>0</v>
      </c>
      <c r="AB182" s="477">
        <f t="shared" ref="AB182" si="146">+Q182+AA182-Y182</f>
        <v>50000000</v>
      </c>
    </row>
    <row r="183" spans="2:28" ht="15.75" customHeight="1" x14ac:dyDescent="0.2">
      <c r="B183" s="46" t="s">
        <v>7</v>
      </c>
      <c r="C183" s="47" t="s">
        <v>27</v>
      </c>
      <c r="D183" s="47"/>
      <c r="E183" s="47"/>
      <c r="F183" s="47"/>
      <c r="G183" s="47"/>
      <c r="H183" s="47"/>
      <c r="I183" s="47"/>
      <c r="J183" s="199"/>
      <c r="K183" s="46"/>
      <c r="L183" s="412" t="s">
        <v>120</v>
      </c>
      <c r="M183" s="138"/>
      <c r="N183" s="138"/>
      <c r="O183" s="161"/>
      <c r="P183" s="161"/>
      <c r="Q183" s="49">
        <f>+Q184</f>
        <v>9450000000.3533344</v>
      </c>
      <c r="R183" s="228"/>
      <c r="S183" s="455"/>
      <c r="T183" s="533" t="e">
        <f>+#REF!-Q183</f>
        <v>#REF!</v>
      </c>
      <c r="U183" s="560"/>
      <c r="V183" s="565"/>
      <c r="W183" s="475"/>
      <c r="X183" s="475"/>
      <c r="Y183" s="475"/>
      <c r="Z183" s="475"/>
      <c r="AA183" s="475"/>
      <c r="AB183" s="475"/>
    </row>
    <row r="184" spans="2:28" ht="15.75" customHeight="1" x14ac:dyDescent="0.25">
      <c r="B184" s="51" t="s">
        <v>7</v>
      </c>
      <c r="C184" s="52" t="s">
        <v>27</v>
      </c>
      <c r="D184" s="52" t="s">
        <v>8</v>
      </c>
      <c r="E184" s="52"/>
      <c r="F184" s="52"/>
      <c r="G184" s="52"/>
      <c r="H184" s="52"/>
      <c r="I184" s="52"/>
      <c r="J184" s="200"/>
      <c r="K184" s="51"/>
      <c r="L184" s="413" t="s">
        <v>120</v>
      </c>
      <c r="M184" s="139"/>
      <c r="N184" s="139"/>
      <c r="O184" s="162"/>
      <c r="P184" s="162"/>
      <c r="Q184" s="54">
        <f>+Q209+Q185</f>
        <v>9450000000.3533344</v>
      </c>
      <c r="R184" s="190"/>
      <c r="S184" s="425"/>
      <c r="T184" s="534"/>
      <c r="U184" s="560"/>
      <c r="V184" s="565"/>
      <c r="W184" s="475"/>
      <c r="X184" s="475"/>
      <c r="Y184" s="475"/>
      <c r="Z184" s="475"/>
      <c r="AA184" s="475"/>
      <c r="AB184" s="475"/>
    </row>
    <row r="185" spans="2:28" ht="15" customHeight="1" x14ac:dyDescent="0.25">
      <c r="B185" s="21" t="s">
        <v>7</v>
      </c>
      <c r="C185" s="22" t="s">
        <v>27</v>
      </c>
      <c r="D185" s="22" t="s">
        <v>8</v>
      </c>
      <c r="E185" s="22" t="s">
        <v>8</v>
      </c>
      <c r="F185" s="22"/>
      <c r="G185" s="22"/>
      <c r="H185" s="22"/>
      <c r="I185" s="22"/>
      <c r="J185" s="201"/>
      <c r="K185" s="21"/>
      <c r="L185" s="456" t="s">
        <v>50</v>
      </c>
      <c r="M185" s="457"/>
      <c r="N185" s="457"/>
      <c r="O185" s="458"/>
      <c r="P185" s="458"/>
      <c r="Q185" s="459">
        <f>+Q186+Q190</f>
        <v>315000000</v>
      </c>
      <c r="R185" s="460"/>
      <c r="S185" s="461"/>
      <c r="T185" s="535"/>
      <c r="U185" s="560"/>
      <c r="V185" s="565"/>
      <c r="W185" s="474"/>
      <c r="X185" s="474"/>
      <c r="Y185" s="474"/>
      <c r="Z185" s="474"/>
      <c r="AA185" s="474"/>
      <c r="AB185" s="474"/>
    </row>
    <row r="186" spans="2:28" ht="15" customHeight="1" x14ac:dyDescent="0.2">
      <c r="B186" s="13" t="s">
        <v>7</v>
      </c>
      <c r="C186" s="14" t="s">
        <v>27</v>
      </c>
      <c r="D186" s="14" t="s">
        <v>8</v>
      </c>
      <c r="E186" s="14" t="s">
        <v>8</v>
      </c>
      <c r="F186" s="14" t="s">
        <v>155</v>
      </c>
      <c r="G186" s="14"/>
      <c r="H186" s="14"/>
      <c r="I186" s="14"/>
      <c r="J186" s="195"/>
      <c r="K186" s="13"/>
      <c r="L186" s="409" t="s">
        <v>156</v>
      </c>
      <c r="M186" s="131"/>
      <c r="N186" s="131"/>
      <c r="O186" s="154"/>
      <c r="P186" s="154"/>
      <c r="Q186" s="16">
        <f>+Q187</f>
        <v>0</v>
      </c>
      <c r="R186" s="14"/>
      <c r="S186" s="17"/>
      <c r="T186" s="527"/>
      <c r="U186" s="556"/>
      <c r="V186" s="557"/>
      <c r="W186" s="477"/>
      <c r="X186" s="477"/>
      <c r="Y186" s="477"/>
      <c r="Z186" s="477"/>
      <c r="AA186" s="477"/>
      <c r="AB186" s="477"/>
    </row>
    <row r="187" spans="2:28" ht="15" customHeight="1" x14ac:dyDescent="0.2">
      <c r="B187" s="31" t="s">
        <v>7</v>
      </c>
      <c r="C187" s="32" t="s">
        <v>27</v>
      </c>
      <c r="D187" s="32" t="s">
        <v>8</v>
      </c>
      <c r="E187" s="32" t="s">
        <v>8</v>
      </c>
      <c r="F187" s="32" t="s">
        <v>155</v>
      </c>
      <c r="G187" s="32" t="s">
        <v>9</v>
      </c>
      <c r="H187" s="32"/>
      <c r="I187" s="32"/>
      <c r="J187" s="202"/>
      <c r="K187" s="31"/>
      <c r="L187" s="414" t="s">
        <v>157</v>
      </c>
      <c r="M187" s="141"/>
      <c r="N187" s="141"/>
      <c r="O187" s="164"/>
      <c r="P187" s="164"/>
      <c r="Q187" s="34">
        <f>+Q188</f>
        <v>0</v>
      </c>
      <c r="R187" s="32"/>
      <c r="S187" s="35"/>
      <c r="T187" s="536"/>
      <c r="U187" s="556"/>
      <c r="V187" s="557"/>
      <c r="W187" s="477"/>
      <c r="X187" s="477"/>
      <c r="Y187" s="477"/>
      <c r="Z187" s="477"/>
      <c r="AA187" s="477"/>
      <c r="AB187" s="477"/>
    </row>
    <row r="188" spans="2:28" ht="30" customHeight="1" x14ac:dyDescent="0.2">
      <c r="B188" s="397" t="s">
        <v>7</v>
      </c>
      <c r="C188" s="395" t="s">
        <v>27</v>
      </c>
      <c r="D188" s="395" t="s">
        <v>8</v>
      </c>
      <c r="E188" s="395" t="s">
        <v>8</v>
      </c>
      <c r="F188" s="395" t="s">
        <v>155</v>
      </c>
      <c r="G188" s="395" t="s">
        <v>9</v>
      </c>
      <c r="H188" s="395" t="s">
        <v>31</v>
      </c>
      <c r="I188" s="395"/>
      <c r="J188" s="404"/>
      <c r="K188" s="397"/>
      <c r="L188" s="403" t="s">
        <v>158</v>
      </c>
      <c r="M188" s="133"/>
      <c r="N188" s="133"/>
      <c r="O188" s="156"/>
      <c r="P188" s="156"/>
      <c r="Q188" s="5">
        <f>SUM(Q189:Q189)</f>
        <v>0</v>
      </c>
      <c r="R188" s="181"/>
      <c r="S188" s="424"/>
      <c r="T188" s="530"/>
      <c r="U188" s="556"/>
      <c r="V188" s="557"/>
      <c r="W188" s="477"/>
      <c r="X188" s="477"/>
      <c r="Y188" s="477"/>
      <c r="Z188" s="477"/>
      <c r="AA188" s="477"/>
      <c r="AB188" s="477"/>
    </row>
    <row r="189" spans="2:28" ht="60" x14ac:dyDescent="0.2">
      <c r="B189" s="623"/>
      <c r="C189" s="624"/>
      <c r="D189" s="624"/>
      <c r="E189" s="624"/>
      <c r="F189" s="624"/>
      <c r="G189" s="624"/>
      <c r="H189" s="624"/>
      <c r="I189" s="624"/>
      <c r="J189" s="624"/>
      <c r="K189" s="440" t="s">
        <v>323</v>
      </c>
      <c r="L189" s="441" t="s">
        <v>504</v>
      </c>
      <c r="M189" s="134">
        <v>44727</v>
      </c>
      <c r="N189" s="134" t="s">
        <v>575</v>
      </c>
      <c r="O189" s="157" t="s">
        <v>331</v>
      </c>
      <c r="P189" s="157" t="s">
        <v>505</v>
      </c>
      <c r="Q189" s="493">
        <v>0</v>
      </c>
      <c r="R189" s="443"/>
      <c r="S189" s="423"/>
      <c r="T189" s="521" t="s">
        <v>221</v>
      </c>
      <c r="U189" s="556"/>
      <c r="V189" s="557"/>
      <c r="W189" s="477"/>
      <c r="X189" s="477"/>
      <c r="Y189" s="477"/>
      <c r="Z189" s="477">
        <f t="shared" ref="Z189" si="147">+Q189-X189</f>
        <v>0</v>
      </c>
      <c r="AA189" s="477">
        <f t="shared" ref="AA189" si="148">+X189-Y189</f>
        <v>0</v>
      </c>
      <c r="AB189" s="477">
        <f t="shared" ref="AB189" si="149">+Q189+AA189-Y189</f>
        <v>0</v>
      </c>
    </row>
    <row r="190" spans="2:28" ht="30" customHeight="1" x14ac:dyDescent="0.2">
      <c r="B190" s="13" t="s">
        <v>7</v>
      </c>
      <c r="C190" s="14" t="s">
        <v>27</v>
      </c>
      <c r="D190" s="14" t="s">
        <v>8</v>
      </c>
      <c r="E190" s="14" t="s">
        <v>8</v>
      </c>
      <c r="F190" s="14" t="s">
        <v>11</v>
      </c>
      <c r="G190" s="14"/>
      <c r="H190" s="14"/>
      <c r="I190" s="14"/>
      <c r="J190" s="195"/>
      <c r="K190" s="13"/>
      <c r="L190" s="409" t="s">
        <v>57</v>
      </c>
      <c r="M190" s="131"/>
      <c r="N190" s="131"/>
      <c r="O190" s="154"/>
      <c r="P190" s="154"/>
      <c r="Q190" s="16">
        <f>Q206+Q191+Q194+Q197+Q200</f>
        <v>315000000</v>
      </c>
      <c r="R190" s="218"/>
      <c r="S190" s="17"/>
      <c r="T190" s="527"/>
      <c r="U190" s="556"/>
      <c r="V190" s="557"/>
      <c r="W190" s="477"/>
      <c r="X190" s="477"/>
      <c r="Y190" s="477"/>
      <c r="Z190" s="477"/>
      <c r="AA190" s="477"/>
      <c r="AB190" s="477"/>
    </row>
    <row r="191" spans="2:28" ht="30" customHeight="1" x14ac:dyDescent="0.2">
      <c r="B191" s="31" t="s">
        <v>7</v>
      </c>
      <c r="C191" s="32" t="s">
        <v>27</v>
      </c>
      <c r="D191" s="32" t="s">
        <v>8</v>
      </c>
      <c r="E191" s="32" t="s">
        <v>8</v>
      </c>
      <c r="F191" s="32" t="s">
        <v>11</v>
      </c>
      <c r="G191" s="32" t="s">
        <v>10</v>
      </c>
      <c r="H191" s="32"/>
      <c r="I191" s="32"/>
      <c r="J191" s="202"/>
      <c r="K191" s="31"/>
      <c r="L191" s="414" t="s">
        <v>58</v>
      </c>
      <c r="M191" s="141"/>
      <c r="N191" s="141"/>
      <c r="O191" s="164"/>
      <c r="P191" s="164"/>
      <c r="Q191" s="34">
        <f>+Q192</f>
        <v>20000000</v>
      </c>
      <c r="R191" s="32"/>
      <c r="S191" s="35"/>
      <c r="T191" s="536"/>
      <c r="U191" s="556"/>
      <c r="V191" s="557"/>
      <c r="W191" s="477"/>
      <c r="X191" s="477"/>
      <c r="Y191" s="477"/>
      <c r="Z191" s="477"/>
      <c r="AA191" s="477"/>
      <c r="AB191" s="477"/>
    </row>
    <row r="192" spans="2:28" ht="15" customHeight="1" x14ac:dyDescent="0.2">
      <c r="B192" s="397" t="s">
        <v>7</v>
      </c>
      <c r="C192" s="395" t="s">
        <v>27</v>
      </c>
      <c r="D192" s="395" t="s">
        <v>8</v>
      </c>
      <c r="E192" s="395" t="s">
        <v>8</v>
      </c>
      <c r="F192" s="233" t="s">
        <v>11</v>
      </c>
      <c r="G192" s="233" t="s">
        <v>10</v>
      </c>
      <c r="H192" s="233" t="s">
        <v>8</v>
      </c>
      <c r="I192" s="395"/>
      <c r="J192" s="404"/>
      <c r="K192" s="397"/>
      <c r="L192" s="403" t="s">
        <v>59</v>
      </c>
      <c r="M192" s="133"/>
      <c r="N192" s="133"/>
      <c r="O192" s="156"/>
      <c r="P192" s="156"/>
      <c r="Q192" s="5">
        <f>SUM(Q193:Q193)</f>
        <v>20000000</v>
      </c>
      <c r="R192" s="181"/>
      <c r="S192" s="396"/>
      <c r="T192" s="530"/>
      <c r="U192" s="556"/>
      <c r="V192" s="557"/>
      <c r="W192" s="477"/>
      <c r="X192" s="477"/>
      <c r="Y192" s="477"/>
      <c r="Z192" s="477"/>
      <c r="AA192" s="477"/>
      <c r="AB192" s="477"/>
    </row>
    <row r="193" spans="2:73" ht="180" x14ac:dyDescent="0.2">
      <c r="B193" s="632"/>
      <c r="C193" s="633"/>
      <c r="D193" s="633"/>
      <c r="E193" s="633"/>
      <c r="F193" s="633"/>
      <c r="G193" s="633"/>
      <c r="H193" s="633"/>
      <c r="I193" s="633"/>
      <c r="J193" s="634"/>
      <c r="K193" s="440" t="s">
        <v>500</v>
      </c>
      <c r="L193" s="441" t="s">
        <v>218</v>
      </c>
      <c r="M193" s="134">
        <v>44607</v>
      </c>
      <c r="N193" s="134" t="s">
        <v>470</v>
      </c>
      <c r="O193" s="157" t="s">
        <v>326</v>
      </c>
      <c r="P193" s="157" t="s">
        <v>336</v>
      </c>
      <c r="Q193" s="493">
        <v>20000000</v>
      </c>
      <c r="R193" s="443"/>
      <c r="S193" s="423"/>
      <c r="T193" s="521" t="s">
        <v>222</v>
      </c>
      <c r="U193" s="556">
        <v>17922</v>
      </c>
      <c r="V193" s="557">
        <v>44603</v>
      </c>
      <c r="W193" s="477">
        <v>20000000</v>
      </c>
      <c r="X193" s="477">
        <v>20000000</v>
      </c>
      <c r="Y193" s="477">
        <v>20000000</v>
      </c>
      <c r="Z193" s="477">
        <f t="shared" ref="Z193" si="150">+Q193-X193</f>
        <v>0</v>
      </c>
      <c r="AA193" s="477">
        <f t="shared" ref="AA193" si="151">+X193-Y193</f>
        <v>0</v>
      </c>
      <c r="AB193" s="477">
        <f t="shared" ref="AB193" si="152">+Q193+AA193-Y193</f>
        <v>0</v>
      </c>
    </row>
    <row r="194" spans="2:73" s="431" customFormat="1" x14ac:dyDescent="0.2">
      <c r="B194" s="435" t="s">
        <v>7</v>
      </c>
      <c r="C194" s="436" t="s">
        <v>27</v>
      </c>
      <c r="D194" s="436" t="s">
        <v>8</v>
      </c>
      <c r="E194" s="436" t="s">
        <v>8</v>
      </c>
      <c r="F194" s="436" t="s">
        <v>11</v>
      </c>
      <c r="G194" s="436" t="s">
        <v>12</v>
      </c>
      <c r="H194" s="436"/>
      <c r="I194" s="436"/>
      <c r="J194" s="445"/>
      <c r="K194" s="435"/>
      <c r="L194" s="451" t="s">
        <v>66</v>
      </c>
      <c r="M194" s="141"/>
      <c r="N194" s="141"/>
      <c r="O194" s="164"/>
      <c r="P194" s="164"/>
      <c r="Q194" s="34">
        <f>+Q195</f>
        <v>0</v>
      </c>
      <c r="R194" s="436"/>
      <c r="S194" s="437"/>
      <c r="T194" s="536"/>
      <c r="U194" s="556"/>
      <c r="V194" s="557"/>
      <c r="W194" s="477"/>
      <c r="X194" s="477"/>
      <c r="Y194" s="477"/>
      <c r="Z194" s="477"/>
      <c r="AA194" s="477"/>
      <c r="AB194" s="477"/>
    </row>
    <row r="195" spans="2:73" s="431" customFormat="1" x14ac:dyDescent="0.2">
      <c r="B195" s="434" t="s">
        <v>7</v>
      </c>
      <c r="C195" s="432" t="s">
        <v>27</v>
      </c>
      <c r="D195" s="432" t="s">
        <v>8</v>
      </c>
      <c r="E195" s="432" t="s">
        <v>8</v>
      </c>
      <c r="F195" s="432" t="s">
        <v>11</v>
      </c>
      <c r="G195" s="432" t="s">
        <v>12</v>
      </c>
      <c r="H195" s="432" t="s">
        <v>31</v>
      </c>
      <c r="I195" s="432"/>
      <c r="J195" s="444"/>
      <c r="K195" s="434"/>
      <c r="L195" s="450" t="s">
        <v>459</v>
      </c>
      <c r="M195" s="133"/>
      <c r="N195" s="133"/>
      <c r="O195" s="156"/>
      <c r="P195" s="156"/>
      <c r="Q195" s="5">
        <f>SUM(Q196:Q196)</f>
        <v>0</v>
      </c>
      <c r="R195" s="442"/>
      <c r="S195" s="433"/>
      <c r="T195" s="530"/>
      <c r="U195" s="556"/>
      <c r="V195" s="557"/>
      <c r="W195" s="477"/>
      <c r="X195" s="477"/>
      <c r="Y195" s="477"/>
      <c r="Z195" s="477"/>
      <c r="AA195" s="477"/>
      <c r="AB195" s="477"/>
    </row>
    <row r="196" spans="2:73" s="431" customFormat="1" ht="60" x14ac:dyDescent="0.2">
      <c r="B196" s="453"/>
      <c r="C196" s="454"/>
      <c r="D196" s="454"/>
      <c r="E196" s="454"/>
      <c r="F196" s="454"/>
      <c r="G196" s="454"/>
      <c r="H196" s="454"/>
      <c r="I196" s="454"/>
      <c r="J196" s="454"/>
      <c r="K196" s="440">
        <v>47121700</v>
      </c>
      <c r="L196" s="441" t="s">
        <v>600</v>
      </c>
      <c r="M196" s="134">
        <v>44681</v>
      </c>
      <c r="N196" s="134" t="s">
        <v>654</v>
      </c>
      <c r="O196" s="157"/>
      <c r="P196" s="157" t="s">
        <v>546</v>
      </c>
      <c r="Q196" s="101">
        <f>70000000-70000000</f>
        <v>0</v>
      </c>
      <c r="R196" s="443"/>
      <c r="S196" s="439"/>
      <c r="T196" s="521" t="s">
        <v>536</v>
      </c>
      <c r="U196" s="556"/>
      <c r="V196" s="557"/>
      <c r="W196" s="477"/>
      <c r="X196" s="477"/>
      <c r="Y196" s="477"/>
      <c r="Z196" s="477">
        <f t="shared" ref="Z196" si="153">+Q196-X196</f>
        <v>0</v>
      </c>
      <c r="AA196" s="477">
        <f t="shared" ref="AA196" si="154">+X196-Y196</f>
        <v>0</v>
      </c>
      <c r="AB196" s="477">
        <f t="shared" ref="AB196" si="155">+Q196+AA196-Y196</f>
        <v>0</v>
      </c>
    </row>
    <row r="197" spans="2:73" s="431" customFormat="1" ht="30" x14ac:dyDescent="0.2">
      <c r="B197" s="435" t="s">
        <v>7</v>
      </c>
      <c r="C197" s="436" t="s">
        <v>27</v>
      </c>
      <c r="D197" s="436" t="s">
        <v>8</v>
      </c>
      <c r="E197" s="436" t="s">
        <v>8</v>
      </c>
      <c r="F197" s="436" t="s">
        <v>11</v>
      </c>
      <c r="G197" s="510" t="s">
        <v>13</v>
      </c>
      <c r="H197" s="436"/>
      <c r="I197" s="436"/>
      <c r="J197" s="445"/>
      <c r="K197" s="435"/>
      <c r="L197" s="451" t="s">
        <v>64</v>
      </c>
      <c r="M197" s="141"/>
      <c r="N197" s="141"/>
      <c r="O197" s="164"/>
      <c r="P197" s="164"/>
      <c r="Q197" s="34">
        <f>+Q198</f>
        <v>25000000</v>
      </c>
      <c r="R197" s="436"/>
      <c r="S197" s="437"/>
      <c r="T197" s="536"/>
      <c r="U197" s="556"/>
      <c r="V197" s="557"/>
      <c r="W197" s="477"/>
      <c r="X197" s="477"/>
      <c r="Y197" s="477"/>
      <c r="Z197" s="477"/>
      <c r="AA197" s="477"/>
      <c r="AB197" s="477"/>
    </row>
    <row r="198" spans="2:73" s="431" customFormat="1" x14ac:dyDescent="0.2">
      <c r="B198" s="434" t="s">
        <v>7</v>
      </c>
      <c r="C198" s="432" t="s">
        <v>27</v>
      </c>
      <c r="D198" s="432" t="s">
        <v>8</v>
      </c>
      <c r="E198" s="432" t="s">
        <v>8</v>
      </c>
      <c r="F198" s="432" t="s">
        <v>11</v>
      </c>
      <c r="G198" s="432" t="s">
        <v>13</v>
      </c>
      <c r="H198" s="504" t="s">
        <v>20</v>
      </c>
      <c r="I198" s="432"/>
      <c r="J198" s="444"/>
      <c r="K198" s="434"/>
      <c r="L198" s="450" t="s">
        <v>140</v>
      </c>
      <c r="M198" s="133"/>
      <c r="N198" s="133"/>
      <c r="O198" s="156"/>
      <c r="P198" s="156"/>
      <c r="Q198" s="5">
        <f>SUM(Q199:Q199)</f>
        <v>25000000</v>
      </c>
      <c r="R198" s="442"/>
      <c r="S198" s="433"/>
      <c r="T198" s="530"/>
      <c r="U198" s="556"/>
      <c r="V198" s="557"/>
      <c r="W198" s="477"/>
      <c r="X198" s="477"/>
      <c r="Y198" s="477"/>
      <c r="Z198" s="477"/>
      <c r="AA198" s="477"/>
      <c r="AB198" s="477"/>
    </row>
    <row r="199" spans="2:73" s="431" customFormat="1" ht="180" x14ac:dyDescent="0.2">
      <c r="B199" s="508"/>
      <c r="C199" s="509"/>
      <c r="D199" s="509"/>
      <c r="E199" s="509"/>
      <c r="F199" s="509"/>
      <c r="G199" s="509"/>
      <c r="H199" s="509"/>
      <c r="I199" s="509"/>
      <c r="J199" s="509"/>
      <c r="K199" s="440" t="s">
        <v>540</v>
      </c>
      <c r="L199" s="405" t="s">
        <v>628</v>
      </c>
      <c r="M199" s="134">
        <v>44696</v>
      </c>
      <c r="N199" s="134" t="s">
        <v>538</v>
      </c>
      <c r="O199" s="157" t="s">
        <v>541</v>
      </c>
      <c r="P199" s="157" t="s">
        <v>318</v>
      </c>
      <c r="Q199" s="101">
        <v>25000000</v>
      </c>
      <c r="R199" s="443" t="s">
        <v>350</v>
      </c>
      <c r="S199" s="439"/>
      <c r="T199" s="521" t="s">
        <v>536</v>
      </c>
      <c r="U199" s="556"/>
      <c r="V199" s="557"/>
      <c r="W199" s="477"/>
      <c r="X199" s="477"/>
      <c r="Y199" s="477"/>
      <c r="Z199" s="477">
        <f t="shared" ref="Z199" si="156">+Q199-X199</f>
        <v>25000000</v>
      </c>
      <c r="AA199" s="477">
        <f t="shared" ref="AA199" si="157">+X199-Y199</f>
        <v>0</v>
      </c>
      <c r="AB199" s="477">
        <f t="shared" ref="AB199" si="158">+Q199+AA199-Y199</f>
        <v>25000000</v>
      </c>
    </row>
    <row r="200" spans="2:73" s="431" customFormat="1" x14ac:dyDescent="0.2">
      <c r="B200" s="435" t="s">
        <v>7</v>
      </c>
      <c r="C200" s="436" t="s">
        <v>27</v>
      </c>
      <c r="D200" s="436" t="s">
        <v>8</v>
      </c>
      <c r="E200" s="436" t="s">
        <v>8</v>
      </c>
      <c r="F200" s="436" t="s">
        <v>11</v>
      </c>
      <c r="G200" s="510" t="s">
        <v>14</v>
      </c>
      <c r="H200" s="436"/>
      <c r="I200" s="436"/>
      <c r="J200" s="445"/>
      <c r="K200" s="435"/>
      <c r="L200" s="451" t="s">
        <v>66</v>
      </c>
      <c r="M200" s="141"/>
      <c r="N200" s="141"/>
      <c r="O200" s="164"/>
      <c r="P200" s="164"/>
      <c r="Q200" s="34">
        <f>+Q201+Q204</f>
        <v>70000000</v>
      </c>
      <c r="R200" s="235"/>
      <c r="S200" s="437"/>
      <c r="T200" s="536"/>
      <c r="U200" s="556"/>
      <c r="V200" s="557"/>
      <c r="W200" s="477"/>
      <c r="X200" s="477"/>
      <c r="Y200" s="477"/>
      <c r="Z200" s="477"/>
      <c r="AA200" s="477"/>
      <c r="AB200" s="477"/>
    </row>
    <row r="201" spans="2:73" s="431" customFormat="1" ht="15" customHeight="1" x14ac:dyDescent="0.2">
      <c r="B201" s="434" t="s">
        <v>7</v>
      </c>
      <c r="C201" s="432" t="s">
        <v>27</v>
      </c>
      <c r="D201" s="432" t="s">
        <v>8</v>
      </c>
      <c r="E201" s="432" t="s">
        <v>8</v>
      </c>
      <c r="F201" s="432" t="s">
        <v>11</v>
      </c>
      <c r="G201" s="504" t="s">
        <v>14</v>
      </c>
      <c r="H201" s="504" t="s">
        <v>23</v>
      </c>
      <c r="I201" s="432"/>
      <c r="J201" s="444"/>
      <c r="K201" s="434"/>
      <c r="L201" s="403" t="s">
        <v>69</v>
      </c>
      <c r="M201" s="133"/>
      <c r="N201" s="133"/>
      <c r="O201" s="156"/>
      <c r="P201" s="156"/>
      <c r="Q201" s="5">
        <f>SUM(Q202:Q203)</f>
        <v>0</v>
      </c>
      <c r="R201" s="442"/>
      <c r="S201" s="433"/>
      <c r="T201" s="530"/>
      <c r="U201" s="556"/>
      <c r="V201" s="557"/>
      <c r="W201" s="477"/>
      <c r="X201" s="477"/>
      <c r="Y201" s="477"/>
      <c r="Z201" s="477"/>
      <c r="AA201" s="477"/>
      <c r="AB201" s="477"/>
    </row>
    <row r="202" spans="2:73" s="431" customFormat="1" ht="104.25" customHeight="1" x14ac:dyDescent="0.2">
      <c r="B202" s="632"/>
      <c r="C202" s="633"/>
      <c r="D202" s="633"/>
      <c r="E202" s="633"/>
      <c r="F202" s="633"/>
      <c r="G202" s="633"/>
      <c r="H202" s="633"/>
      <c r="I202" s="633"/>
      <c r="J202" s="634"/>
      <c r="K202" s="440" t="s">
        <v>543</v>
      </c>
      <c r="L202" s="441" t="s">
        <v>544</v>
      </c>
      <c r="M202" s="134">
        <v>44301</v>
      </c>
      <c r="N202" s="134" t="s">
        <v>533</v>
      </c>
      <c r="O202" s="157" t="s">
        <v>545</v>
      </c>
      <c r="P202" s="157" t="s">
        <v>546</v>
      </c>
      <c r="Q202" s="101">
        <v>0</v>
      </c>
      <c r="R202" s="443" t="s">
        <v>350</v>
      </c>
      <c r="S202" s="439"/>
      <c r="T202" s="521" t="s">
        <v>536</v>
      </c>
      <c r="U202" s="556"/>
      <c r="V202" s="557"/>
      <c r="W202" s="477"/>
      <c r="X202" s="477"/>
      <c r="Y202" s="477"/>
      <c r="Z202" s="477">
        <f t="shared" ref="Z202:Z203" si="159">+Q202-X202</f>
        <v>0</v>
      </c>
      <c r="AA202" s="477">
        <f t="shared" ref="AA202:AA203" si="160">+X202-Y202</f>
        <v>0</v>
      </c>
      <c r="AB202" s="477">
        <f t="shared" ref="AB202:AB203" si="161">+Q202+AA202-Y202</f>
        <v>0</v>
      </c>
    </row>
    <row r="203" spans="2:73" s="431" customFormat="1" ht="75" x14ac:dyDescent="0.2">
      <c r="B203" s="508"/>
      <c r="C203" s="509"/>
      <c r="D203" s="509"/>
      <c r="E203" s="509"/>
      <c r="F203" s="509"/>
      <c r="G203" s="509"/>
      <c r="H203" s="509"/>
      <c r="I203" s="509"/>
      <c r="J203" s="509"/>
      <c r="K203" s="440" t="s">
        <v>547</v>
      </c>
      <c r="L203" s="441" t="s">
        <v>548</v>
      </c>
      <c r="M203" s="134">
        <v>44301</v>
      </c>
      <c r="N203" s="134" t="s">
        <v>533</v>
      </c>
      <c r="O203" s="157" t="s">
        <v>545</v>
      </c>
      <c r="P203" s="157" t="s">
        <v>546</v>
      </c>
      <c r="Q203" s="101">
        <v>0</v>
      </c>
      <c r="R203" s="443" t="s">
        <v>350</v>
      </c>
      <c r="S203" s="439"/>
      <c r="T203" s="521" t="s">
        <v>536</v>
      </c>
      <c r="U203" s="556"/>
      <c r="V203" s="557"/>
      <c r="W203" s="477"/>
      <c r="X203" s="477"/>
      <c r="Y203" s="477"/>
      <c r="Z203" s="477">
        <f t="shared" si="159"/>
        <v>0</v>
      </c>
      <c r="AA203" s="477">
        <f t="shared" si="160"/>
        <v>0</v>
      </c>
      <c r="AB203" s="477">
        <f t="shared" si="161"/>
        <v>0</v>
      </c>
    </row>
    <row r="204" spans="2:73" s="431" customFormat="1" ht="15" customHeight="1" x14ac:dyDescent="0.2">
      <c r="B204" s="434" t="s">
        <v>7</v>
      </c>
      <c r="C204" s="432" t="s">
        <v>27</v>
      </c>
      <c r="D204" s="432" t="s">
        <v>8</v>
      </c>
      <c r="E204" s="432" t="s">
        <v>8</v>
      </c>
      <c r="F204" s="432" t="s">
        <v>11</v>
      </c>
      <c r="G204" s="504" t="s">
        <v>14</v>
      </c>
      <c r="H204" s="504" t="s">
        <v>31</v>
      </c>
      <c r="I204" s="432"/>
      <c r="J204" s="444"/>
      <c r="K204" s="434"/>
      <c r="L204" s="450" t="s">
        <v>459</v>
      </c>
      <c r="M204" s="133"/>
      <c r="N204" s="133"/>
      <c r="O204" s="156"/>
      <c r="P204" s="156"/>
      <c r="Q204" s="5">
        <f>SUM(Q205:Q205)</f>
        <v>70000000</v>
      </c>
      <c r="R204" s="442"/>
      <c r="S204" s="433"/>
      <c r="T204" s="245"/>
      <c r="U204" s="476">
        <f>SUM(U205:U205)</f>
        <v>0</v>
      </c>
      <c r="V204" s="476">
        <f>SUM(V205:V205)</f>
        <v>0</v>
      </c>
      <c r="W204" s="477">
        <f>SUM(W205:W205)</f>
        <v>0</v>
      </c>
      <c r="X204" s="477">
        <f>SUM(X205:X205)</f>
        <v>0</v>
      </c>
      <c r="Y204" s="477">
        <f>SUM(Y205:Y205)</f>
        <v>0</v>
      </c>
      <c r="Z204" s="477">
        <f t="shared" ref="Z204:AB204" si="162">SUM(Z205:Z205)</f>
        <v>70000000</v>
      </c>
      <c r="AA204" s="477">
        <f t="shared" si="162"/>
        <v>0</v>
      </c>
      <c r="AB204" s="477">
        <f t="shared" si="162"/>
        <v>70000000</v>
      </c>
      <c r="AR204" s="285"/>
      <c r="AS204" s="285"/>
      <c r="AT204" s="285"/>
      <c r="AU204" s="285"/>
      <c r="AV204" s="285"/>
      <c r="AW204" s="285"/>
      <c r="AX204" s="285"/>
      <c r="AY204" s="285"/>
      <c r="AZ204" s="285"/>
      <c r="BA204" s="285"/>
      <c r="BB204" s="285"/>
      <c r="BC204" s="285"/>
      <c r="BD204" s="285"/>
      <c r="BE204" s="285"/>
      <c r="BF204" s="285"/>
      <c r="BG204" s="285"/>
      <c r="BH204" s="285"/>
      <c r="BI204" s="285"/>
      <c r="BJ204" s="285"/>
      <c r="BK204" s="285"/>
      <c r="BL204" s="285"/>
      <c r="BM204" s="285"/>
      <c r="BN204" s="285"/>
      <c r="BO204" s="285"/>
      <c r="BP204" s="285"/>
      <c r="BQ204" s="285"/>
      <c r="BR204" s="285"/>
      <c r="BS204" s="285"/>
      <c r="BT204" s="285"/>
      <c r="BU204" s="285"/>
    </row>
    <row r="205" spans="2:73" s="431" customFormat="1" ht="47.25" customHeight="1" x14ac:dyDescent="0.2">
      <c r="B205" s="585"/>
      <c r="C205" s="586"/>
      <c r="D205" s="586"/>
      <c r="E205" s="586"/>
      <c r="F205" s="586"/>
      <c r="G205" s="586"/>
      <c r="H205" s="586"/>
      <c r="I205" s="586"/>
      <c r="J205" s="586"/>
      <c r="K205" s="438">
        <v>47121700</v>
      </c>
      <c r="L205" s="441" t="s">
        <v>600</v>
      </c>
      <c r="M205" s="134">
        <v>44681</v>
      </c>
      <c r="N205" s="134" t="s">
        <v>654</v>
      </c>
      <c r="O205" s="157"/>
      <c r="P205" s="157" t="s">
        <v>546</v>
      </c>
      <c r="Q205" s="101">
        <v>70000000</v>
      </c>
      <c r="R205" s="443" t="s">
        <v>386</v>
      </c>
      <c r="S205" s="439"/>
      <c r="T205" s="253" t="s">
        <v>753</v>
      </c>
      <c r="U205" s="476"/>
      <c r="V205" s="476"/>
      <c r="W205" s="477"/>
      <c r="X205" s="477"/>
      <c r="Y205" s="477"/>
      <c r="Z205" s="477">
        <f t="shared" ref="Z205" si="163">+Q205-X205</f>
        <v>70000000</v>
      </c>
      <c r="AA205" s="477">
        <f t="shared" ref="AA205" si="164">+X205-Y205</f>
        <v>0</v>
      </c>
      <c r="AB205" s="477">
        <f t="shared" ref="AB205" si="165">+Q205+AA205-Y205</f>
        <v>70000000</v>
      </c>
      <c r="AR205" s="285"/>
      <c r="AS205" s="285"/>
      <c r="AT205" s="285"/>
      <c r="AU205" s="285"/>
      <c r="AV205" s="285"/>
      <c r="AW205" s="285"/>
      <c r="AX205" s="285"/>
      <c r="AY205" s="285"/>
      <c r="AZ205" s="285"/>
      <c r="BA205" s="285"/>
      <c r="BB205" s="285"/>
      <c r="BC205" s="285"/>
      <c r="BD205" s="285"/>
      <c r="BE205" s="285"/>
      <c r="BF205" s="285"/>
      <c r="BG205" s="285"/>
      <c r="BH205" s="285"/>
      <c r="BI205" s="285"/>
      <c r="BJ205" s="285"/>
      <c r="BK205" s="285"/>
      <c r="BL205" s="285"/>
      <c r="BM205" s="285"/>
      <c r="BN205" s="285"/>
      <c r="BO205" s="285"/>
      <c r="BP205" s="285"/>
      <c r="BQ205" s="285"/>
      <c r="BR205" s="285"/>
      <c r="BS205" s="285"/>
      <c r="BT205" s="285"/>
      <c r="BU205" s="285"/>
    </row>
    <row r="206" spans="2:73" ht="30" x14ac:dyDescent="0.2">
      <c r="B206" s="31" t="s">
        <v>7</v>
      </c>
      <c r="C206" s="32" t="s">
        <v>27</v>
      </c>
      <c r="D206" s="32" t="s">
        <v>8</v>
      </c>
      <c r="E206" s="32" t="s">
        <v>8</v>
      </c>
      <c r="F206" s="32" t="s">
        <v>11</v>
      </c>
      <c r="G206" s="32" t="s">
        <v>15</v>
      </c>
      <c r="H206" s="32"/>
      <c r="I206" s="32"/>
      <c r="J206" s="202"/>
      <c r="K206" s="31"/>
      <c r="L206" s="414" t="s">
        <v>71</v>
      </c>
      <c r="M206" s="141"/>
      <c r="N206" s="141"/>
      <c r="O206" s="164"/>
      <c r="P206" s="164"/>
      <c r="Q206" s="34">
        <f>SUM(Q207:Q207)</f>
        <v>200000000</v>
      </c>
      <c r="R206" s="235"/>
      <c r="S206" s="35"/>
      <c r="T206" s="536"/>
      <c r="U206" s="556"/>
      <c r="V206" s="557"/>
      <c r="W206" s="477"/>
      <c r="X206" s="477"/>
      <c r="Y206" s="477"/>
      <c r="Z206" s="477"/>
      <c r="AA206" s="477"/>
      <c r="AB206" s="477"/>
      <c r="AD206" s="431"/>
      <c r="AE206" s="431"/>
      <c r="AF206" s="431"/>
      <c r="AG206" s="431"/>
      <c r="AH206" s="431"/>
      <c r="AI206" s="431"/>
      <c r="AJ206" s="431"/>
      <c r="AK206" s="431"/>
      <c r="AL206" s="431"/>
      <c r="AM206" s="431"/>
      <c r="AN206" s="431"/>
      <c r="AO206" s="431"/>
      <c r="AP206" s="431"/>
      <c r="AQ206" s="431"/>
    </row>
    <row r="207" spans="2:73" ht="15" customHeight="1" x14ac:dyDescent="0.2">
      <c r="B207" s="397" t="s">
        <v>7</v>
      </c>
      <c r="C207" s="395" t="s">
        <v>27</v>
      </c>
      <c r="D207" s="395" t="s">
        <v>8</v>
      </c>
      <c r="E207" s="395" t="s">
        <v>8</v>
      </c>
      <c r="F207" s="395" t="s">
        <v>11</v>
      </c>
      <c r="G207" s="395" t="s">
        <v>15</v>
      </c>
      <c r="H207" s="395" t="s">
        <v>8</v>
      </c>
      <c r="I207" s="395"/>
      <c r="J207" s="404"/>
      <c r="K207" s="397"/>
      <c r="L207" s="403" t="s">
        <v>72</v>
      </c>
      <c r="M207" s="133"/>
      <c r="N207" s="133"/>
      <c r="O207" s="156"/>
      <c r="P207" s="156"/>
      <c r="Q207" s="5">
        <f>SUM(Q208:Q208)</f>
        <v>200000000</v>
      </c>
      <c r="R207" s="181"/>
      <c r="S207" s="396"/>
      <c r="T207" s="530"/>
      <c r="U207" s="556"/>
      <c r="V207" s="557"/>
      <c r="W207" s="477"/>
      <c r="X207" s="477"/>
      <c r="Y207" s="477"/>
      <c r="Z207" s="477"/>
      <c r="AA207" s="477"/>
      <c r="AB207" s="477"/>
      <c r="AC207" s="431"/>
      <c r="AD207" s="431"/>
      <c r="AE207" s="431"/>
      <c r="AF207" s="431"/>
      <c r="AG207" s="431"/>
      <c r="AH207" s="431"/>
      <c r="AI207" s="431"/>
      <c r="AJ207" s="431"/>
      <c r="AK207" s="431"/>
      <c r="AL207" s="431"/>
      <c r="AM207" s="431"/>
      <c r="AN207" s="431"/>
      <c r="AO207" s="431"/>
      <c r="AP207" s="431"/>
      <c r="AQ207" s="431"/>
    </row>
    <row r="208" spans="2:73" ht="60" x14ac:dyDescent="0.2">
      <c r="B208" s="632"/>
      <c r="C208" s="633"/>
      <c r="D208" s="633"/>
      <c r="E208" s="633"/>
      <c r="F208" s="633"/>
      <c r="G208" s="633"/>
      <c r="H208" s="633"/>
      <c r="I208" s="633"/>
      <c r="J208" s="634"/>
      <c r="K208" s="440" t="s">
        <v>325</v>
      </c>
      <c r="L208" s="441" t="s">
        <v>506</v>
      </c>
      <c r="M208" s="134">
        <v>44635</v>
      </c>
      <c r="N208" s="134" t="s">
        <v>467</v>
      </c>
      <c r="O208" s="157" t="s">
        <v>362</v>
      </c>
      <c r="P208" s="157" t="s">
        <v>641</v>
      </c>
      <c r="Q208" s="493">
        <v>200000000</v>
      </c>
      <c r="R208" s="443"/>
      <c r="S208" s="439"/>
      <c r="T208" s="521" t="s">
        <v>221</v>
      </c>
      <c r="U208" s="556"/>
      <c r="V208" s="557"/>
      <c r="W208" s="477"/>
      <c r="X208" s="477"/>
      <c r="Y208" s="477"/>
      <c r="Z208" s="477">
        <f t="shared" ref="Z208" si="166">+Q208-X208</f>
        <v>200000000</v>
      </c>
      <c r="AA208" s="477">
        <f t="shared" ref="AA208" si="167">+X208-Y208</f>
        <v>0</v>
      </c>
      <c r="AB208" s="477">
        <f t="shared" ref="AB208" si="168">+Q208+AA208-Y208</f>
        <v>200000000</v>
      </c>
    </row>
    <row r="209" spans="2:28" ht="15" customHeight="1" x14ac:dyDescent="0.25">
      <c r="B209" s="21" t="s">
        <v>7</v>
      </c>
      <c r="C209" s="22" t="s">
        <v>27</v>
      </c>
      <c r="D209" s="22" t="s">
        <v>8</v>
      </c>
      <c r="E209" s="22" t="s">
        <v>20</v>
      </c>
      <c r="F209" s="22"/>
      <c r="G209" s="22"/>
      <c r="H209" s="22"/>
      <c r="I209" s="22"/>
      <c r="J209" s="201"/>
      <c r="K209" s="21"/>
      <c r="L209" s="456" t="s">
        <v>75</v>
      </c>
      <c r="M209" s="457"/>
      <c r="N209" s="457"/>
      <c r="O209" s="458"/>
      <c r="P209" s="458"/>
      <c r="Q209" s="459">
        <f>+Q210+Q241+Q232</f>
        <v>9135000000.3533344</v>
      </c>
      <c r="R209" s="462"/>
      <c r="S209" s="461"/>
      <c r="T209" s="535"/>
      <c r="U209" s="560"/>
      <c r="V209" s="565"/>
      <c r="W209" s="474"/>
      <c r="X209" s="474"/>
      <c r="Y209" s="474"/>
      <c r="Z209" s="474"/>
      <c r="AA209" s="474"/>
      <c r="AB209" s="474"/>
    </row>
    <row r="210" spans="2:28" ht="15" customHeight="1" x14ac:dyDescent="0.2">
      <c r="B210" s="13" t="s">
        <v>7</v>
      </c>
      <c r="C210" s="14" t="s">
        <v>27</v>
      </c>
      <c r="D210" s="14" t="s">
        <v>8</v>
      </c>
      <c r="E210" s="14" t="s">
        <v>20</v>
      </c>
      <c r="F210" s="14" t="s">
        <v>13</v>
      </c>
      <c r="G210" s="14"/>
      <c r="H210" s="14"/>
      <c r="I210" s="14"/>
      <c r="J210" s="195"/>
      <c r="K210" s="13"/>
      <c r="L210" s="409" t="s">
        <v>76</v>
      </c>
      <c r="M210" s="131"/>
      <c r="N210" s="131"/>
      <c r="O210" s="154"/>
      <c r="P210" s="154"/>
      <c r="Q210" s="16">
        <f>+Q211</f>
        <v>7040986810.3500004</v>
      </c>
      <c r="R210" s="218"/>
      <c r="S210" s="17"/>
      <c r="T210" s="527"/>
      <c r="U210" s="556"/>
      <c r="V210" s="557"/>
      <c r="W210" s="477"/>
      <c r="X210" s="477"/>
      <c r="Y210" s="477"/>
      <c r="Z210" s="477"/>
      <c r="AA210" s="477"/>
      <c r="AB210" s="477"/>
    </row>
    <row r="211" spans="2:28" ht="57" customHeight="1" x14ac:dyDescent="0.2">
      <c r="B211" s="31" t="s">
        <v>7</v>
      </c>
      <c r="C211" s="32" t="s">
        <v>27</v>
      </c>
      <c r="D211" s="32" t="s">
        <v>8</v>
      </c>
      <c r="E211" s="32" t="s">
        <v>20</v>
      </c>
      <c r="F211" s="32" t="s">
        <v>13</v>
      </c>
      <c r="G211" s="32" t="s">
        <v>12</v>
      </c>
      <c r="H211" s="32"/>
      <c r="I211" s="32"/>
      <c r="J211" s="202"/>
      <c r="K211" s="31"/>
      <c r="L211" s="486" t="s">
        <v>77</v>
      </c>
      <c r="M211" s="141"/>
      <c r="N211" s="141"/>
      <c r="O211" s="164"/>
      <c r="P211" s="164"/>
      <c r="Q211" s="34">
        <f>+Q212+Q225+Q228</f>
        <v>7040986810.3500004</v>
      </c>
      <c r="R211" s="235"/>
      <c r="S211" s="35"/>
      <c r="T211" s="536"/>
      <c r="U211" s="556"/>
      <c r="V211" s="557"/>
      <c r="W211" s="477"/>
      <c r="X211" s="477"/>
      <c r="Y211" s="477"/>
      <c r="Z211" s="477"/>
      <c r="AA211" s="477"/>
      <c r="AB211" s="477"/>
    </row>
    <row r="212" spans="2:28" ht="15" customHeight="1" x14ac:dyDescent="0.2">
      <c r="B212" s="397" t="s">
        <v>7</v>
      </c>
      <c r="C212" s="395" t="s">
        <v>27</v>
      </c>
      <c r="D212" s="395" t="s">
        <v>8</v>
      </c>
      <c r="E212" s="395" t="s">
        <v>20</v>
      </c>
      <c r="F212" s="395" t="s">
        <v>13</v>
      </c>
      <c r="G212" s="395" t="s">
        <v>12</v>
      </c>
      <c r="H212" s="395" t="s">
        <v>27</v>
      </c>
      <c r="I212" s="395"/>
      <c r="J212" s="404"/>
      <c r="K212" s="397"/>
      <c r="L212" s="403" t="s">
        <v>78</v>
      </c>
      <c r="M212" s="133"/>
      <c r="N212" s="133"/>
      <c r="O212" s="156"/>
      <c r="P212" s="156"/>
      <c r="Q212" s="5">
        <f>SUM(Q213:Q224)</f>
        <v>5957436810.3500004</v>
      </c>
      <c r="R212" s="402"/>
      <c r="S212" s="452"/>
      <c r="T212" s="530"/>
      <c r="U212" s="556"/>
      <c r="V212" s="557"/>
      <c r="W212" s="476"/>
      <c r="X212" s="476"/>
      <c r="Y212" s="476"/>
      <c r="Z212" s="476"/>
      <c r="AA212" s="476"/>
      <c r="AB212" s="476"/>
    </row>
    <row r="213" spans="2:28" ht="201.75" customHeight="1" x14ac:dyDescent="0.2">
      <c r="B213" s="623"/>
      <c r="C213" s="624"/>
      <c r="D213" s="624"/>
      <c r="E213" s="624"/>
      <c r="F213" s="624"/>
      <c r="G213" s="624"/>
      <c r="H213" s="624"/>
      <c r="I213" s="624"/>
      <c r="J213" s="624"/>
      <c r="K213" s="440" t="s">
        <v>335</v>
      </c>
      <c r="L213" s="441" t="s">
        <v>594</v>
      </c>
      <c r="M213" s="134">
        <v>44682</v>
      </c>
      <c r="N213" s="134" t="s">
        <v>533</v>
      </c>
      <c r="O213" s="157" t="s">
        <v>311</v>
      </c>
      <c r="P213" s="157" t="s">
        <v>336</v>
      </c>
      <c r="Q213" s="493">
        <f>3588520512-24500000-33600000-16800000-5500000</f>
        <v>3508120512</v>
      </c>
      <c r="R213" s="443"/>
      <c r="S213" s="423"/>
      <c r="T213" s="521" t="s">
        <v>221</v>
      </c>
      <c r="U213" s="556"/>
      <c r="V213" s="557"/>
      <c r="W213" s="477"/>
      <c r="X213" s="477"/>
      <c r="Y213" s="477"/>
      <c r="Z213" s="477">
        <f t="shared" ref="Z213:Z224" si="169">+Q213-X213</f>
        <v>3508120512</v>
      </c>
      <c r="AA213" s="477">
        <f t="shared" ref="AA213:AA224" si="170">+X213-Y213</f>
        <v>0</v>
      </c>
      <c r="AB213" s="477">
        <f t="shared" ref="AB213:AB224" si="171">+Q213+AA213-Y213</f>
        <v>3508120512</v>
      </c>
    </row>
    <row r="214" spans="2:28" s="431" customFormat="1" ht="58.5" customHeight="1" x14ac:dyDescent="0.2">
      <c r="B214" s="625"/>
      <c r="C214" s="626"/>
      <c r="D214" s="626"/>
      <c r="E214" s="626"/>
      <c r="F214" s="626"/>
      <c r="G214" s="626"/>
      <c r="H214" s="626"/>
      <c r="I214" s="626"/>
      <c r="J214" s="626"/>
      <c r="K214" s="440">
        <v>72101500</v>
      </c>
      <c r="L214" s="441" t="s">
        <v>675</v>
      </c>
      <c r="M214" s="134">
        <v>44593</v>
      </c>
      <c r="N214" s="134" t="s">
        <v>553</v>
      </c>
      <c r="O214" s="157" t="s">
        <v>678</v>
      </c>
      <c r="P214" s="157" t="s">
        <v>338</v>
      </c>
      <c r="Q214" s="493">
        <f>24500000+5500000</f>
        <v>30000000</v>
      </c>
      <c r="R214" s="553"/>
      <c r="S214" s="423"/>
      <c r="T214" s="521" t="s">
        <v>221</v>
      </c>
      <c r="U214" s="556">
        <v>7722</v>
      </c>
      <c r="V214" s="557">
        <v>44580</v>
      </c>
      <c r="W214" s="477">
        <v>24500000</v>
      </c>
      <c r="X214" s="477">
        <v>24500000</v>
      </c>
      <c r="Y214" s="477">
        <v>30000000</v>
      </c>
      <c r="Z214" s="477">
        <f t="shared" si="169"/>
        <v>5500000</v>
      </c>
      <c r="AA214" s="477">
        <f t="shared" si="170"/>
        <v>-5500000</v>
      </c>
      <c r="AB214" s="477">
        <f t="shared" si="171"/>
        <v>-5500000</v>
      </c>
    </row>
    <row r="215" spans="2:28" s="431" customFormat="1" ht="58.5" customHeight="1" x14ac:dyDescent="0.2">
      <c r="B215" s="625"/>
      <c r="C215" s="626"/>
      <c r="D215" s="626"/>
      <c r="E215" s="626"/>
      <c r="F215" s="626"/>
      <c r="G215" s="626"/>
      <c r="H215" s="626"/>
      <c r="I215" s="626"/>
      <c r="J215" s="626"/>
      <c r="K215" s="440">
        <v>72101500</v>
      </c>
      <c r="L215" s="441" t="s">
        <v>676</v>
      </c>
      <c r="M215" s="134">
        <v>44593</v>
      </c>
      <c r="N215" s="134" t="s">
        <v>553</v>
      </c>
      <c r="O215" s="157" t="s">
        <v>678</v>
      </c>
      <c r="P215" s="157" t="s">
        <v>338</v>
      </c>
      <c r="Q215" s="493">
        <v>33600000</v>
      </c>
      <c r="R215" s="443"/>
      <c r="S215" s="423"/>
      <c r="T215" s="521" t="s">
        <v>221</v>
      </c>
      <c r="U215" s="556">
        <v>7522</v>
      </c>
      <c r="V215" s="557">
        <v>44580</v>
      </c>
      <c r="W215" s="477">
        <v>33600000</v>
      </c>
      <c r="X215" s="477">
        <v>33600000</v>
      </c>
      <c r="Y215" s="477">
        <v>33600000</v>
      </c>
      <c r="Z215" s="477">
        <f t="shared" si="169"/>
        <v>0</v>
      </c>
      <c r="AA215" s="477">
        <f t="shared" si="170"/>
        <v>0</v>
      </c>
      <c r="AB215" s="477">
        <f t="shared" si="171"/>
        <v>0</v>
      </c>
    </row>
    <row r="216" spans="2:28" s="431" customFormat="1" ht="58.5" customHeight="1" x14ac:dyDescent="0.2">
      <c r="B216" s="625"/>
      <c r="C216" s="626"/>
      <c r="D216" s="626"/>
      <c r="E216" s="626"/>
      <c r="F216" s="626"/>
      <c r="G216" s="626"/>
      <c r="H216" s="626"/>
      <c r="I216" s="626"/>
      <c r="J216" s="626"/>
      <c r="K216" s="440">
        <v>72101500</v>
      </c>
      <c r="L216" s="441" t="s">
        <v>677</v>
      </c>
      <c r="M216" s="134">
        <v>44593</v>
      </c>
      <c r="N216" s="134" t="s">
        <v>553</v>
      </c>
      <c r="O216" s="157" t="s">
        <v>678</v>
      </c>
      <c r="P216" s="157" t="s">
        <v>338</v>
      </c>
      <c r="Q216" s="493">
        <v>16800000</v>
      </c>
      <c r="R216" s="443"/>
      <c r="S216" s="423"/>
      <c r="T216" s="521" t="s">
        <v>221</v>
      </c>
      <c r="U216" s="556">
        <v>7822</v>
      </c>
      <c r="V216" s="557">
        <v>44611</v>
      </c>
      <c r="W216" s="477">
        <v>16800000</v>
      </c>
      <c r="X216" s="477">
        <v>16800000</v>
      </c>
      <c r="Y216" s="477">
        <v>16800000</v>
      </c>
      <c r="Z216" s="477">
        <f t="shared" si="169"/>
        <v>0</v>
      </c>
      <c r="AA216" s="477">
        <f t="shared" si="170"/>
        <v>0</v>
      </c>
      <c r="AB216" s="477">
        <f t="shared" si="171"/>
        <v>0</v>
      </c>
    </row>
    <row r="217" spans="2:28" ht="71.25" customHeight="1" x14ac:dyDescent="0.2">
      <c r="B217" s="625"/>
      <c r="C217" s="626"/>
      <c r="D217" s="626"/>
      <c r="E217" s="626"/>
      <c r="F217" s="626"/>
      <c r="G217" s="626"/>
      <c r="H217" s="626"/>
      <c r="I217" s="626"/>
      <c r="J217" s="626"/>
      <c r="K217" s="440" t="s">
        <v>335</v>
      </c>
      <c r="L217" s="441" t="s">
        <v>605</v>
      </c>
      <c r="M217" s="134" t="s">
        <v>652</v>
      </c>
      <c r="N217" s="134" t="s">
        <v>652</v>
      </c>
      <c r="O217" s="134" t="s">
        <v>652</v>
      </c>
      <c r="P217" s="157" t="s">
        <v>336</v>
      </c>
      <c r="Q217" s="493">
        <f>966140000+320000000+180000000</f>
        <v>1466140000</v>
      </c>
      <c r="R217" s="575"/>
      <c r="S217" s="423"/>
      <c r="T217" s="521" t="s">
        <v>221</v>
      </c>
      <c r="U217" s="556">
        <v>2522</v>
      </c>
      <c r="V217" s="557">
        <v>44572</v>
      </c>
      <c r="W217" s="477">
        <v>966140000</v>
      </c>
      <c r="X217" s="477">
        <v>966140000</v>
      </c>
      <c r="Y217" s="477">
        <v>966140000</v>
      </c>
      <c r="Z217" s="477">
        <f t="shared" si="169"/>
        <v>500000000</v>
      </c>
      <c r="AA217" s="477">
        <f t="shared" si="170"/>
        <v>0</v>
      </c>
      <c r="AB217" s="477">
        <f t="shared" si="171"/>
        <v>500000000</v>
      </c>
    </row>
    <row r="218" spans="2:28" ht="71.25" customHeight="1" x14ac:dyDescent="0.2">
      <c r="B218" s="625"/>
      <c r="C218" s="626"/>
      <c r="D218" s="626"/>
      <c r="E218" s="626"/>
      <c r="F218" s="626"/>
      <c r="G218" s="626"/>
      <c r="H218" s="626"/>
      <c r="I218" s="626"/>
      <c r="J218" s="626"/>
      <c r="K218" s="440" t="s">
        <v>335</v>
      </c>
      <c r="L218" s="441" t="s">
        <v>606</v>
      </c>
      <c r="M218" s="134">
        <v>44743</v>
      </c>
      <c r="N218" s="134" t="s">
        <v>582</v>
      </c>
      <c r="O218" s="157" t="s">
        <v>507</v>
      </c>
      <c r="P218" s="157" t="s">
        <v>336</v>
      </c>
      <c r="Q218" s="493">
        <f>644838150-320000000-180000000</f>
        <v>144838150</v>
      </c>
      <c r="R218" s="443" t="s">
        <v>322</v>
      </c>
      <c r="S218" s="493">
        <v>1934514450</v>
      </c>
      <c r="T218" s="521" t="s">
        <v>221</v>
      </c>
      <c r="U218" s="556"/>
      <c r="V218" s="557"/>
      <c r="W218" s="477"/>
      <c r="X218" s="477"/>
      <c r="Y218" s="477"/>
      <c r="Z218" s="477">
        <f>+Q218-X218</f>
        <v>144838150</v>
      </c>
      <c r="AA218" s="477">
        <f t="shared" si="170"/>
        <v>0</v>
      </c>
      <c r="AB218" s="477">
        <f>+Q218+AA218-Y218</f>
        <v>144838150</v>
      </c>
    </row>
    <row r="219" spans="2:28" ht="75" x14ac:dyDescent="0.2">
      <c r="B219" s="625"/>
      <c r="C219" s="626"/>
      <c r="D219" s="626"/>
      <c r="E219" s="626"/>
      <c r="F219" s="626"/>
      <c r="G219" s="626"/>
      <c r="H219" s="626"/>
      <c r="I219" s="626"/>
      <c r="J219" s="626"/>
      <c r="K219" s="440" t="s">
        <v>315</v>
      </c>
      <c r="L219" s="441" t="s">
        <v>653</v>
      </c>
      <c r="M219" s="134">
        <v>44581</v>
      </c>
      <c r="N219" s="134" t="s">
        <v>472</v>
      </c>
      <c r="O219" s="157" t="s">
        <v>650</v>
      </c>
      <c r="P219" s="134" t="s">
        <v>546</v>
      </c>
      <c r="Q219" s="493">
        <f>183902950+45000000</f>
        <v>228902950</v>
      </c>
      <c r="R219" s="443"/>
      <c r="S219" s="582">
        <v>2932280000</v>
      </c>
      <c r="T219" s="521" t="s">
        <v>221</v>
      </c>
      <c r="U219" s="639">
        <v>7222</v>
      </c>
      <c r="V219" s="637">
        <v>44580</v>
      </c>
      <c r="W219" s="635">
        <f>183902950+8400000</f>
        <v>192302950</v>
      </c>
      <c r="X219" s="635">
        <f>183902950+8400000</f>
        <v>192302950</v>
      </c>
      <c r="Y219" s="635">
        <v>188391420</v>
      </c>
      <c r="Z219" s="635">
        <f>+Q219+Q220-X219</f>
        <v>45000000</v>
      </c>
      <c r="AA219" s="635">
        <f>+X219-Y219</f>
        <v>3911530</v>
      </c>
      <c r="AB219" s="635">
        <f>+Q219+Q220+AA219-Y219</f>
        <v>52823060</v>
      </c>
    </row>
    <row r="220" spans="2:28" s="431" customFormat="1" ht="60" x14ac:dyDescent="0.2">
      <c r="B220" s="625"/>
      <c r="C220" s="626"/>
      <c r="D220" s="626"/>
      <c r="E220" s="626"/>
      <c r="F220" s="626"/>
      <c r="G220" s="626"/>
      <c r="H220" s="626"/>
      <c r="I220" s="626"/>
      <c r="J220" s="626"/>
      <c r="K220" s="440" t="s">
        <v>591</v>
      </c>
      <c r="L220" s="441" t="s">
        <v>610</v>
      </c>
      <c r="M220" s="134">
        <v>44581</v>
      </c>
      <c r="N220" s="134" t="s">
        <v>472</v>
      </c>
      <c r="O220" s="157" t="s">
        <v>650</v>
      </c>
      <c r="P220" s="134" t="s">
        <v>546</v>
      </c>
      <c r="Q220" s="101">
        <v>8400000</v>
      </c>
      <c r="R220" s="443"/>
      <c r="S220" s="439"/>
      <c r="T220" s="521" t="s">
        <v>221</v>
      </c>
      <c r="U220" s="640"/>
      <c r="V220" s="638"/>
      <c r="W220" s="636"/>
      <c r="X220" s="636"/>
      <c r="Y220" s="636"/>
      <c r="Z220" s="636"/>
      <c r="AA220" s="636"/>
      <c r="AB220" s="636"/>
    </row>
    <row r="221" spans="2:28" ht="57.75" customHeight="1" x14ac:dyDescent="0.2">
      <c r="B221" s="625"/>
      <c r="C221" s="626"/>
      <c r="D221" s="626"/>
      <c r="E221" s="626"/>
      <c r="F221" s="626"/>
      <c r="G221" s="626"/>
      <c r="H221" s="626"/>
      <c r="I221" s="626"/>
      <c r="J221" s="626"/>
      <c r="K221" s="440" t="s">
        <v>315</v>
      </c>
      <c r="L221" s="441" t="s">
        <v>607</v>
      </c>
      <c r="M221" s="134">
        <v>44854</v>
      </c>
      <c r="N221" s="134" t="s">
        <v>583</v>
      </c>
      <c r="O221" s="134" t="s">
        <v>326</v>
      </c>
      <c r="P221" s="157" t="s">
        <v>317</v>
      </c>
      <c r="Q221" s="493">
        <f>109816333-45000000</f>
        <v>64816333</v>
      </c>
      <c r="R221" s="443" t="s">
        <v>322</v>
      </c>
      <c r="S221" s="493"/>
      <c r="T221" s="521" t="s">
        <v>221</v>
      </c>
      <c r="U221" s="556"/>
      <c r="V221" s="557"/>
      <c r="W221" s="477"/>
      <c r="X221" s="477"/>
      <c r="Y221" s="477"/>
      <c r="Z221" s="477">
        <f t="shared" si="169"/>
        <v>64816333</v>
      </c>
      <c r="AA221" s="477">
        <f t="shared" si="170"/>
        <v>0</v>
      </c>
      <c r="AB221" s="477">
        <f>+Q221+AA221-Y221</f>
        <v>64816333</v>
      </c>
    </row>
    <row r="222" spans="2:28" ht="59.25" customHeight="1" x14ac:dyDescent="0.2">
      <c r="B222" s="625"/>
      <c r="C222" s="626"/>
      <c r="D222" s="626"/>
      <c r="E222" s="626"/>
      <c r="F222" s="626"/>
      <c r="G222" s="626"/>
      <c r="H222" s="626"/>
      <c r="I222" s="626"/>
      <c r="J222" s="626"/>
      <c r="K222" s="438">
        <v>72154100</v>
      </c>
      <c r="L222" s="441" t="s">
        <v>608</v>
      </c>
      <c r="M222" s="134" t="s">
        <v>652</v>
      </c>
      <c r="N222" s="134" t="s">
        <v>652</v>
      </c>
      <c r="O222" s="134" t="s">
        <v>652</v>
      </c>
      <c r="P222" s="157" t="s">
        <v>546</v>
      </c>
      <c r="Q222" s="493">
        <f>111105115+57000000</f>
        <v>168105115</v>
      </c>
      <c r="R222" s="575"/>
      <c r="S222" s="101"/>
      <c r="T222" s="521" t="s">
        <v>221</v>
      </c>
      <c r="U222" s="556">
        <v>2722</v>
      </c>
      <c r="V222" s="557">
        <v>44572</v>
      </c>
      <c r="W222" s="477">
        <v>111105115</v>
      </c>
      <c r="X222" s="477">
        <v>168105115</v>
      </c>
      <c r="Y222" s="477">
        <v>168105115</v>
      </c>
      <c r="Z222" s="477">
        <f t="shared" si="169"/>
        <v>0</v>
      </c>
      <c r="AA222" s="477">
        <f t="shared" si="170"/>
        <v>0</v>
      </c>
      <c r="AB222" s="477">
        <f t="shared" si="171"/>
        <v>0</v>
      </c>
    </row>
    <row r="223" spans="2:28" ht="65.25" customHeight="1" x14ac:dyDescent="0.2">
      <c r="B223" s="625"/>
      <c r="C223" s="626"/>
      <c r="D223" s="626"/>
      <c r="E223" s="626"/>
      <c r="F223" s="626"/>
      <c r="G223" s="626"/>
      <c r="H223" s="626"/>
      <c r="I223" s="626"/>
      <c r="J223" s="626"/>
      <c r="K223" s="440">
        <v>72154100</v>
      </c>
      <c r="L223" s="441" t="s">
        <v>609</v>
      </c>
      <c r="M223" s="134">
        <v>44640</v>
      </c>
      <c r="N223" s="134" t="s">
        <v>467</v>
      </c>
      <c r="O223" s="134" t="s">
        <v>301</v>
      </c>
      <c r="P223" s="157" t="s">
        <v>647</v>
      </c>
      <c r="Q223" s="493">
        <f>323613750.35-57000000</f>
        <v>266613750.35000002</v>
      </c>
      <c r="R223" s="443" t="s">
        <v>322</v>
      </c>
      <c r="S223" s="493">
        <v>485420625.52500004</v>
      </c>
      <c r="T223" s="521" t="s">
        <v>221</v>
      </c>
      <c r="U223" s="556"/>
      <c r="V223" s="557"/>
      <c r="W223" s="477"/>
      <c r="X223" s="477"/>
      <c r="Y223" s="477"/>
      <c r="Z223" s="477">
        <f t="shared" si="169"/>
        <v>266613750.35000002</v>
      </c>
      <c r="AA223" s="477">
        <f t="shared" si="170"/>
        <v>0</v>
      </c>
      <c r="AB223" s="477">
        <f t="shared" si="171"/>
        <v>266613750.35000002</v>
      </c>
    </row>
    <row r="224" spans="2:28" ht="45" x14ac:dyDescent="0.2">
      <c r="B224" s="625"/>
      <c r="C224" s="626"/>
      <c r="D224" s="626"/>
      <c r="E224" s="626"/>
      <c r="F224" s="626"/>
      <c r="G224" s="626"/>
      <c r="H224" s="626"/>
      <c r="I224" s="626"/>
      <c r="J224" s="626"/>
      <c r="K224" s="440" t="s">
        <v>316</v>
      </c>
      <c r="L224" s="441" t="s">
        <v>508</v>
      </c>
      <c r="M224" s="134">
        <v>44713</v>
      </c>
      <c r="N224" s="134" t="s">
        <v>575</v>
      </c>
      <c r="O224" s="157" t="s">
        <v>337</v>
      </c>
      <c r="P224" s="157" t="s">
        <v>648</v>
      </c>
      <c r="Q224" s="493">
        <v>21100000</v>
      </c>
      <c r="R224" s="443"/>
      <c r="S224" s="439"/>
      <c r="T224" s="521" t="s">
        <v>221</v>
      </c>
      <c r="U224" s="556"/>
      <c r="V224" s="557"/>
      <c r="W224" s="477"/>
      <c r="X224" s="477"/>
      <c r="Y224" s="477"/>
      <c r="Z224" s="477">
        <f t="shared" si="169"/>
        <v>21100000</v>
      </c>
      <c r="AA224" s="477">
        <f t="shared" si="170"/>
        <v>0</v>
      </c>
      <c r="AB224" s="477">
        <f t="shared" si="171"/>
        <v>21100000</v>
      </c>
    </row>
    <row r="225" spans="2:28" ht="15" customHeight="1" x14ac:dyDescent="0.2">
      <c r="B225" s="397" t="s">
        <v>7</v>
      </c>
      <c r="C225" s="395" t="s">
        <v>27</v>
      </c>
      <c r="D225" s="395" t="s">
        <v>8</v>
      </c>
      <c r="E225" s="395" t="s">
        <v>20</v>
      </c>
      <c r="F225" s="395" t="s">
        <v>13</v>
      </c>
      <c r="G225" s="395" t="s">
        <v>12</v>
      </c>
      <c r="H225" s="395" t="s">
        <v>28</v>
      </c>
      <c r="I225" s="395"/>
      <c r="J225" s="404"/>
      <c r="K225" s="397"/>
      <c r="L225" s="403" t="s">
        <v>79</v>
      </c>
      <c r="M225" s="133"/>
      <c r="N225" s="133"/>
      <c r="O225" s="156"/>
      <c r="P225" s="156"/>
      <c r="Q225" s="5">
        <f>SUM(Q226:Q227)</f>
        <v>87600000</v>
      </c>
      <c r="R225" s="181"/>
      <c r="S225" s="396"/>
      <c r="T225" s="530"/>
      <c r="U225" s="556"/>
      <c r="V225" s="557"/>
      <c r="W225" s="477"/>
      <c r="X225" s="477"/>
      <c r="Y225" s="477"/>
      <c r="Z225" s="477"/>
      <c r="AA225" s="477"/>
      <c r="AB225" s="477"/>
    </row>
    <row r="226" spans="2:28" ht="30" x14ac:dyDescent="0.2">
      <c r="B226" s="625"/>
      <c r="C226" s="626"/>
      <c r="D226" s="626"/>
      <c r="E226" s="626"/>
      <c r="F226" s="626"/>
      <c r="G226" s="626"/>
      <c r="H226" s="626"/>
      <c r="I226" s="626"/>
      <c r="J226" s="626"/>
      <c r="K226" s="438">
        <v>72101500</v>
      </c>
      <c r="L226" s="441" t="s">
        <v>509</v>
      </c>
      <c r="M226" s="134">
        <v>44572</v>
      </c>
      <c r="N226" s="134" t="s">
        <v>472</v>
      </c>
      <c r="O226" s="157" t="s">
        <v>324</v>
      </c>
      <c r="P226" s="157" t="s">
        <v>338</v>
      </c>
      <c r="Q226" s="493">
        <v>27600000</v>
      </c>
      <c r="R226" s="443" t="s">
        <v>350</v>
      </c>
      <c r="S226" s="101"/>
      <c r="T226" s="521" t="s">
        <v>221</v>
      </c>
      <c r="U226" s="556">
        <v>422</v>
      </c>
      <c r="V226" s="557">
        <v>44566</v>
      </c>
      <c r="W226" s="477">
        <v>27600000</v>
      </c>
      <c r="X226" s="477">
        <v>27600000</v>
      </c>
      <c r="Y226" s="477">
        <v>18000000</v>
      </c>
      <c r="Z226" s="477">
        <f t="shared" ref="Z226:Z227" si="172">+Q226-X226</f>
        <v>0</v>
      </c>
      <c r="AA226" s="477">
        <f t="shared" ref="AA226:AA227" si="173">+X226-Y226</f>
        <v>9600000</v>
      </c>
      <c r="AB226" s="477">
        <f t="shared" ref="AB226:AB227" si="174">+Q226+AA226-Y226</f>
        <v>19200000</v>
      </c>
    </row>
    <row r="227" spans="2:28" ht="60" x14ac:dyDescent="0.2">
      <c r="B227" s="625"/>
      <c r="C227" s="626"/>
      <c r="D227" s="626"/>
      <c r="E227" s="626"/>
      <c r="F227" s="626"/>
      <c r="G227" s="626"/>
      <c r="H227" s="626"/>
      <c r="I227" s="626"/>
      <c r="J227" s="626"/>
      <c r="K227" s="398">
        <v>46171600</v>
      </c>
      <c r="L227" s="400" t="s">
        <v>570</v>
      </c>
      <c r="M227" s="134">
        <v>44640</v>
      </c>
      <c r="N227" s="134" t="s">
        <v>470</v>
      </c>
      <c r="O227" s="157" t="s">
        <v>301</v>
      </c>
      <c r="P227" s="157" t="s">
        <v>546</v>
      </c>
      <c r="Q227" s="101">
        <v>60000000</v>
      </c>
      <c r="R227" s="443" t="s">
        <v>350</v>
      </c>
      <c r="S227" s="399"/>
      <c r="T227" s="521" t="s">
        <v>181</v>
      </c>
      <c r="U227" s="556"/>
      <c r="V227" s="557"/>
      <c r="W227" s="477"/>
      <c r="X227" s="477"/>
      <c r="Y227" s="477"/>
      <c r="Z227" s="477">
        <f t="shared" si="172"/>
        <v>60000000</v>
      </c>
      <c r="AA227" s="477">
        <f t="shared" si="173"/>
        <v>0</v>
      </c>
      <c r="AB227" s="477">
        <f t="shared" si="174"/>
        <v>60000000</v>
      </c>
    </row>
    <row r="228" spans="2:28" ht="15" customHeight="1" x14ac:dyDescent="0.2">
      <c r="B228" s="397" t="s">
        <v>7</v>
      </c>
      <c r="C228" s="395" t="s">
        <v>27</v>
      </c>
      <c r="D228" s="395" t="s">
        <v>8</v>
      </c>
      <c r="E228" s="395" t="s">
        <v>20</v>
      </c>
      <c r="F228" s="395" t="s">
        <v>13</v>
      </c>
      <c r="G228" s="395" t="s">
        <v>12</v>
      </c>
      <c r="H228" s="395" t="s">
        <v>29</v>
      </c>
      <c r="I228" s="395"/>
      <c r="J228" s="404"/>
      <c r="K228" s="397"/>
      <c r="L228" s="403" t="s">
        <v>80</v>
      </c>
      <c r="M228" s="133"/>
      <c r="N228" s="133"/>
      <c r="O228" s="156"/>
      <c r="P228" s="156"/>
      <c r="Q228" s="5">
        <f>SUM(Q229:Q231)</f>
        <v>995950000</v>
      </c>
      <c r="R228" s="402"/>
      <c r="S228" s="396"/>
      <c r="T228" s="530"/>
      <c r="U228" s="556"/>
      <c r="V228" s="557"/>
      <c r="W228" s="477"/>
      <c r="X228" s="477"/>
      <c r="Y228" s="477"/>
      <c r="Z228" s="477"/>
      <c r="AA228" s="477"/>
      <c r="AB228" s="477"/>
    </row>
    <row r="229" spans="2:28" ht="60" x14ac:dyDescent="0.2">
      <c r="B229" s="623"/>
      <c r="C229" s="624"/>
      <c r="D229" s="624"/>
      <c r="E229" s="624"/>
      <c r="F229" s="624"/>
      <c r="G229" s="624"/>
      <c r="H229" s="624"/>
      <c r="I229" s="624"/>
      <c r="J229" s="624"/>
      <c r="K229" s="438">
        <v>72101500</v>
      </c>
      <c r="L229" s="441" t="s">
        <v>510</v>
      </c>
      <c r="M229" s="134">
        <v>44572</v>
      </c>
      <c r="N229" s="134" t="s">
        <v>472</v>
      </c>
      <c r="O229" s="157" t="s">
        <v>324</v>
      </c>
      <c r="P229" s="157" t="s">
        <v>338</v>
      </c>
      <c r="Q229" s="493">
        <v>314600000</v>
      </c>
      <c r="R229" s="443"/>
      <c r="S229" s="439"/>
      <c r="T229" s="521" t="s">
        <v>221</v>
      </c>
      <c r="U229" s="556">
        <v>622</v>
      </c>
      <c r="V229" s="557">
        <v>44566</v>
      </c>
      <c r="W229" s="477">
        <v>314600000</v>
      </c>
      <c r="X229" s="477">
        <v>314600000</v>
      </c>
      <c r="Y229" s="477">
        <v>189750000</v>
      </c>
      <c r="Z229" s="477">
        <f t="shared" ref="Z229:Z231" si="175">+Q229-X229</f>
        <v>0</v>
      </c>
      <c r="AA229" s="477">
        <f t="shared" ref="AA229:AA231" si="176">+X229-Y229</f>
        <v>124850000</v>
      </c>
      <c r="AB229" s="477">
        <f t="shared" ref="AB229:AB231" si="177">+Q229+AA229-Y229</f>
        <v>249700000</v>
      </c>
    </row>
    <row r="230" spans="2:28" s="431" customFormat="1" ht="45" x14ac:dyDescent="0.2">
      <c r="B230" s="625"/>
      <c r="C230" s="626"/>
      <c r="D230" s="626"/>
      <c r="E230" s="626"/>
      <c r="F230" s="626"/>
      <c r="G230" s="626"/>
      <c r="H230" s="626"/>
      <c r="I230" s="626"/>
      <c r="J230" s="626"/>
      <c r="K230" s="438">
        <v>72101500</v>
      </c>
      <c r="L230" s="441" t="s">
        <v>511</v>
      </c>
      <c r="M230" s="134">
        <v>44572</v>
      </c>
      <c r="N230" s="134" t="s">
        <v>472</v>
      </c>
      <c r="O230" s="157" t="s">
        <v>324</v>
      </c>
      <c r="P230" s="157" t="s">
        <v>338</v>
      </c>
      <c r="Q230" s="493">
        <v>27600000</v>
      </c>
      <c r="R230" s="443"/>
      <c r="S230" s="439"/>
      <c r="T230" s="521" t="s">
        <v>221</v>
      </c>
      <c r="U230" s="556">
        <v>722</v>
      </c>
      <c r="V230" s="557" t="s">
        <v>732</v>
      </c>
      <c r="W230" s="477">
        <v>27600000</v>
      </c>
      <c r="X230" s="477">
        <v>27600000</v>
      </c>
      <c r="Y230" s="477">
        <v>18000000</v>
      </c>
      <c r="Z230" s="477">
        <f t="shared" si="175"/>
        <v>0</v>
      </c>
      <c r="AA230" s="477">
        <f t="shared" si="176"/>
        <v>9600000</v>
      </c>
      <c r="AB230" s="477">
        <f t="shared" si="177"/>
        <v>19200000</v>
      </c>
    </row>
    <row r="231" spans="2:28" s="431" customFormat="1" ht="45" x14ac:dyDescent="0.2">
      <c r="B231" s="625"/>
      <c r="C231" s="626"/>
      <c r="D231" s="626"/>
      <c r="E231" s="626"/>
      <c r="F231" s="626"/>
      <c r="G231" s="626"/>
      <c r="H231" s="626"/>
      <c r="I231" s="626"/>
      <c r="J231" s="626"/>
      <c r="K231" s="438">
        <v>72101500</v>
      </c>
      <c r="L231" s="441" t="s">
        <v>214</v>
      </c>
      <c r="M231" s="134">
        <v>44572</v>
      </c>
      <c r="N231" s="134" t="s">
        <v>472</v>
      </c>
      <c r="O231" s="157" t="s">
        <v>324</v>
      </c>
      <c r="P231" s="157" t="s">
        <v>338</v>
      </c>
      <c r="Q231" s="493">
        <v>653750000</v>
      </c>
      <c r="R231" s="443"/>
      <c r="S231" s="439"/>
      <c r="T231" s="521" t="s">
        <v>221</v>
      </c>
      <c r="U231" s="556">
        <v>122</v>
      </c>
      <c r="V231" s="557">
        <v>44566</v>
      </c>
      <c r="W231" s="477">
        <v>653750000</v>
      </c>
      <c r="X231" s="477">
        <v>653750000</v>
      </c>
      <c r="Y231" s="477">
        <v>355500000</v>
      </c>
      <c r="Z231" s="477">
        <f t="shared" si="175"/>
        <v>0</v>
      </c>
      <c r="AA231" s="477">
        <f t="shared" si="176"/>
        <v>298250000</v>
      </c>
      <c r="AB231" s="477">
        <f t="shared" si="177"/>
        <v>596500000</v>
      </c>
    </row>
    <row r="232" spans="2:28" ht="30" customHeight="1" x14ac:dyDescent="0.2">
      <c r="B232" s="13" t="s">
        <v>7</v>
      </c>
      <c r="C232" s="14" t="s">
        <v>27</v>
      </c>
      <c r="D232" s="14" t="s">
        <v>8</v>
      </c>
      <c r="E232" s="14" t="s">
        <v>20</v>
      </c>
      <c r="F232" s="14" t="s">
        <v>15</v>
      </c>
      <c r="G232" s="14"/>
      <c r="H232" s="14"/>
      <c r="I232" s="14"/>
      <c r="J232" s="195"/>
      <c r="K232" s="13"/>
      <c r="L232" s="409" t="s">
        <v>86</v>
      </c>
      <c r="M232" s="131"/>
      <c r="N232" s="131"/>
      <c r="O232" s="154"/>
      <c r="P232" s="154"/>
      <c r="Q232" s="16">
        <f>+Q233+Q237</f>
        <v>135000000</v>
      </c>
      <c r="R232" s="14"/>
      <c r="S232" s="17"/>
      <c r="T232" s="527"/>
      <c r="U232" s="556"/>
      <c r="V232" s="557"/>
      <c r="W232" s="477"/>
      <c r="X232" s="477"/>
      <c r="Y232" s="477"/>
      <c r="Z232" s="477"/>
      <c r="AA232" s="477"/>
      <c r="AB232" s="477"/>
    </row>
    <row r="233" spans="2:28" ht="15" customHeight="1" x14ac:dyDescent="0.2">
      <c r="B233" s="31" t="s">
        <v>7</v>
      </c>
      <c r="C233" s="32" t="s">
        <v>27</v>
      </c>
      <c r="D233" s="32" t="s">
        <v>8</v>
      </c>
      <c r="E233" s="32" t="s">
        <v>20</v>
      </c>
      <c r="F233" s="32" t="s">
        <v>15</v>
      </c>
      <c r="G233" s="284" t="s">
        <v>9</v>
      </c>
      <c r="H233" s="32"/>
      <c r="I233" s="32"/>
      <c r="J233" s="32"/>
      <c r="K233" s="31"/>
      <c r="L233" s="414" t="s">
        <v>139</v>
      </c>
      <c r="M233" s="141"/>
      <c r="N233" s="141"/>
      <c r="O233" s="164"/>
      <c r="P233" s="164"/>
      <c r="Q233" s="34">
        <f>+Q234</f>
        <v>42000000</v>
      </c>
      <c r="R233" s="32"/>
      <c r="S233" s="35"/>
      <c r="T233" s="536"/>
      <c r="U233" s="556"/>
      <c r="V233" s="557"/>
      <c r="W233" s="477"/>
      <c r="X233" s="477"/>
      <c r="Y233" s="477"/>
      <c r="Z233" s="477"/>
      <c r="AA233" s="477"/>
      <c r="AB233" s="477"/>
    </row>
    <row r="234" spans="2:28" s="285" customFormat="1" ht="30" customHeight="1" x14ac:dyDescent="0.2">
      <c r="B234" s="286" t="s">
        <v>7</v>
      </c>
      <c r="C234" s="233" t="s">
        <v>27</v>
      </c>
      <c r="D234" s="233" t="s">
        <v>8</v>
      </c>
      <c r="E234" s="233" t="s">
        <v>20</v>
      </c>
      <c r="F234" s="233" t="s">
        <v>15</v>
      </c>
      <c r="G234" s="233" t="s">
        <v>9</v>
      </c>
      <c r="H234" s="233" t="s">
        <v>23</v>
      </c>
      <c r="I234" s="233"/>
      <c r="J234" s="287"/>
      <c r="K234" s="397"/>
      <c r="L234" s="403" t="s">
        <v>87</v>
      </c>
      <c r="M234" s="133"/>
      <c r="N234" s="133"/>
      <c r="O234" s="156"/>
      <c r="P234" s="156"/>
      <c r="Q234" s="5">
        <f>+Q235</f>
        <v>42000000</v>
      </c>
      <c r="R234" s="395"/>
      <c r="S234" s="288"/>
      <c r="T234" s="529"/>
      <c r="U234" s="556"/>
      <c r="V234" s="557"/>
      <c r="W234" s="477"/>
      <c r="X234" s="477"/>
      <c r="Y234" s="477"/>
      <c r="Z234" s="477"/>
      <c r="AA234" s="477"/>
      <c r="AB234" s="477"/>
    </row>
    <row r="235" spans="2:28" s="285" customFormat="1" ht="15" customHeight="1" x14ac:dyDescent="0.2">
      <c r="B235" s="286" t="s">
        <v>7</v>
      </c>
      <c r="C235" s="233" t="s">
        <v>27</v>
      </c>
      <c r="D235" s="233" t="s">
        <v>8</v>
      </c>
      <c r="E235" s="233" t="s">
        <v>20</v>
      </c>
      <c r="F235" s="233" t="s">
        <v>15</v>
      </c>
      <c r="G235" s="233" t="s">
        <v>9</v>
      </c>
      <c r="H235" s="233" t="s">
        <v>23</v>
      </c>
      <c r="I235" s="233" t="s">
        <v>32</v>
      </c>
      <c r="J235" s="287"/>
      <c r="K235" s="397"/>
      <c r="L235" s="403" t="s">
        <v>413</v>
      </c>
      <c r="M235" s="133"/>
      <c r="N235" s="133"/>
      <c r="O235" s="156"/>
      <c r="P235" s="156"/>
      <c r="Q235" s="5">
        <f>+Q236</f>
        <v>42000000</v>
      </c>
      <c r="R235" s="395"/>
      <c r="S235" s="288"/>
      <c r="T235" s="529"/>
      <c r="U235" s="556"/>
      <c r="V235" s="557"/>
      <c r="W235" s="477"/>
      <c r="X235" s="477"/>
      <c r="Y235" s="477"/>
      <c r="Z235" s="477"/>
      <c r="AA235" s="477"/>
      <c r="AB235" s="477"/>
    </row>
    <row r="236" spans="2:28" s="285" customFormat="1" ht="30" x14ac:dyDescent="0.2">
      <c r="B236" s="291"/>
      <c r="C236" s="292"/>
      <c r="D236" s="292"/>
      <c r="E236" s="292"/>
      <c r="F236" s="292"/>
      <c r="G236" s="292"/>
      <c r="H236" s="292"/>
      <c r="I236" s="292"/>
      <c r="J236" s="293"/>
      <c r="K236" s="438"/>
      <c r="L236" s="441" t="s">
        <v>414</v>
      </c>
      <c r="M236" s="134" t="s">
        <v>375</v>
      </c>
      <c r="N236" s="134" t="s">
        <v>375</v>
      </c>
      <c r="O236" s="134" t="s">
        <v>375</v>
      </c>
      <c r="P236" s="134" t="s">
        <v>375</v>
      </c>
      <c r="Q236" s="493">
        <v>42000000</v>
      </c>
      <c r="R236" s="443"/>
      <c r="S236" s="439"/>
      <c r="T236" s="521" t="s">
        <v>221</v>
      </c>
      <c r="U236" s="556">
        <v>322</v>
      </c>
      <c r="V236" s="557">
        <v>44566</v>
      </c>
      <c r="W236" s="477">
        <v>42000000</v>
      </c>
      <c r="X236" s="477">
        <v>42000000</v>
      </c>
      <c r="Y236" s="477">
        <v>15913500</v>
      </c>
      <c r="Z236" s="477">
        <f t="shared" ref="Z236" si="178">+Q236-X236</f>
        <v>0</v>
      </c>
      <c r="AA236" s="477">
        <f t="shared" ref="AA236" si="179">+X236-Y236</f>
        <v>26086500</v>
      </c>
      <c r="AB236" s="477">
        <f t="shared" ref="AB236" si="180">+Q236+AA236-Y236</f>
        <v>52173000</v>
      </c>
    </row>
    <row r="237" spans="2:28" s="285" customFormat="1" x14ac:dyDescent="0.2">
      <c r="B237" s="31" t="s">
        <v>7</v>
      </c>
      <c r="C237" s="32" t="s">
        <v>27</v>
      </c>
      <c r="D237" s="32" t="s">
        <v>8</v>
      </c>
      <c r="E237" s="32" t="s">
        <v>20</v>
      </c>
      <c r="F237" s="32" t="s">
        <v>15</v>
      </c>
      <c r="G237" s="32" t="s">
        <v>10</v>
      </c>
      <c r="H237" s="32"/>
      <c r="I237" s="32"/>
      <c r="J237" s="202"/>
      <c r="K237" s="31"/>
      <c r="L237" s="414" t="s">
        <v>388</v>
      </c>
      <c r="M237" s="141"/>
      <c r="N237" s="141"/>
      <c r="O237" s="164"/>
      <c r="P237" s="164"/>
      <c r="Q237" s="34">
        <f>+Q238</f>
        <v>93000000</v>
      </c>
      <c r="R237" s="32"/>
      <c r="S237" s="35"/>
      <c r="T237" s="536"/>
      <c r="U237" s="556"/>
      <c r="V237" s="557"/>
      <c r="W237" s="477"/>
      <c r="X237" s="477"/>
      <c r="Y237" s="477"/>
      <c r="Z237" s="477"/>
      <c r="AA237" s="477"/>
      <c r="AB237" s="477"/>
    </row>
    <row r="238" spans="2:28" s="285" customFormat="1" x14ac:dyDescent="0.2">
      <c r="B238" s="286" t="s">
        <v>7</v>
      </c>
      <c r="C238" s="233" t="s">
        <v>27</v>
      </c>
      <c r="D238" s="233" t="s">
        <v>8</v>
      </c>
      <c r="E238" s="233" t="s">
        <v>20</v>
      </c>
      <c r="F238" s="233" t="s">
        <v>15</v>
      </c>
      <c r="G238" s="233" t="s">
        <v>10</v>
      </c>
      <c r="H238" s="233" t="s">
        <v>8</v>
      </c>
      <c r="I238" s="395"/>
      <c r="J238" s="404"/>
      <c r="K238" s="397"/>
      <c r="L238" s="403" t="s">
        <v>389</v>
      </c>
      <c r="M238" s="133"/>
      <c r="N238" s="133"/>
      <c r="O238" s="156"/>
      <c r="P238" s="156"/>
      <c r="Q238" s="5">
        <f>+Q239</f>
        <v>93000000</v>
      </c>
      <c r="R238" s="181"/>
      <c r="S238" s="396"/>
      <c r="T238" s="530"/>
      <c r="U238" s="556"/>
      <c r="V238" s="557"/>
      <c r="W238" s="477"/>
      <c r="X238" s="477"/>
      <c r="Y238" s="477"/>
      <c r="Z238" s="477"/>
      <c r="AA238" s="477"/>
      <c r="AB238" s="477"/>
    </row>
    <row r="239" spans="2:28" s="285" customFormat="1" ht="30" customHeight="1" x14ac:dyDescent="0.2">
      <c r="B239" s="286" t="s">
        <v>7</v>
      </c>
      <c r="C239" s="233" t="s">
        <v>27</v>
      </c>
      <c r="D239" s="233" t="s">
        <v>8</v>
      </c>
      <c r="E239" s="233" t="s">
        <v>20</v>
      </c>
      <c r="F239" s="233" t="s">
        <v>15</v>
      </c>
      <c r="G239" s="395" t="s">
        <v>11</v>
      </c>
      <c r="H239" s="395" t="s">
        <v>8</v>
      </c>
      <c r="I239" s="395" t="s">
        <v>21</v>
      </c>
      <c r="J239" s="404"/>
      <c r="K239" s="397"/>
      <c r="L239" s="403" t="s">
        <v>390</v>
      </c>
      <c r="M239" s="133"/>
      <c r="N239" s="133"/>
      <c r="O239" s="156"/>
      <c r="P239" s="156"/>
      <c r="Q239" s="5">
        <f>+Q240</f>
        <v>93000000</v>
      </c>
      <c r="R239" s="181"/>
      <c r="S239" s="396"/>
      <c r="T239" s="530"/>
      <c r="U239" s="556"/>
      <c r="V239" s="557"/>
      <c r="W239" s="476"/>
      <c r="X239" s="476"/>
      <c r="Y239" s="476"/>
      <c r="Z239" s="476"/>
      <c r="AA239" s="476"/>
      <c r="AB239" s="476"/>
    </row>
    <row r="240" spans="2:28" s="285" customFormat="1" x14ac:dyDescent="0.2">
      <c r="B240" s="291"/>
      <c r="C240" s="292"/>
      <c r="D240" s="292"/>
      <c r="E240" s="292"/>
      <c r="F240" s="292"/>
      <c r="G240" s="292"/>
      <c r="H240" s="292"/>
      <c r="I240" s="292"/>
      <c r="J240" s="293"/>
      <c r="K240" s="438">
        <v>83112400</v>
      </c>
      <c r="L240" s="441" t="s">
        <v>391</v>
      </c>
      <c r="M240" s="134">
        <v>44198</v>
      </c>
      <c r="N240" s="134" t="s">
        <v>472</v>
      </c>
      <c r="O240" s="134" t="s">
        <v>301</v>
      </c>
      <c r="P240" s="134" t="s">
        <v>375</v>
      </c>
      <c r="Q240" s="101">
        <v>93000000</v>
      </c>
      <c r="R240" s="443"/>
      <c r="S240" s="439"/>
      <c r="T240" s="521" t="s">
        <v>271</v>
      </c>
      <c r="U240" s="556">
        <v>6022</v>
      </c>
      <c r="V240" s="557">
        <v>44579</v>
      </c>
      <c r="W240" s="476">
        <v>35712000</v>
      </c>
      <c r="X240" s="476">
        <v>35712000</v>
      </c>
      <c r="Y240" s="476">
        <v>35712000</v>
      </c>
      <c r="Z240" s="477">
        <f t="shared" ref="Z240" si="181">+Q240-X240</f>
        <v>57288000</v>
      </c>
      <c r="AA240" s="477">
        <f t="shared" ref="AA240" si="182">+X240-Y240</f>
        <v>0</v>
      </c>
      <c r="AB240" s="477">
        <f t="shared" ref="AB240" si="183">+Q240+AA240-Y240</f>
        <v>57288000</v>
      </c>
    </row>
    <row r="241" spans="2:28" ht="15" customHeight="1" x14ac:dyDescent="0.2">
      <c r="B241" s="13" t="s">
        <v>7</v>
      </c>
      <c r="C241" s="14" t="s">
        <v>27</v>
      </c>
      <c r="D241" s="14" t="s">
        <v>8</v>
      </c>
      <c r="E241" s="14" t="s">
        <v>20</v>
      </c>
      <c r="F241" s="14" t="s">
        <v>16</v>
      </c>
      <c r="G241" s="14"/>
      <c r="H241" s="14"/>
      <c r="I241" s="14"/>
      <c r="J241" s="195"/>
      <c r="K241" s="13"/>
      <c r="L241" s="409" t="s">
        <v>91</v>
      </c>
      <c r="M241" s="131"/>
      <c r="N241" s="131"/>
      <c r="O241" s="154"/>
      <c r="P241" s="154"/>
      <c r="Q241" s="16">
        <f>+Q242+Q247+Q256</f>
        <v>1959013190.0033333</v>
      </c>
      <c r="R241" s="218"/>
      <c r="S241" s="17"/>
      <c r="T241" s="527"/>
      <c r="U241" s="556"/>
      <c r="V241" s="557"/>
      <c r="W241" s="477"/>
      <c r="X241" s="477"/>
      <c r="Y241" s="477"/>
      <c r="Z241" s="477"/>
      <c r="AA241" s="477"/>
      <c r="AB241" s="477"/>
    </row>
    <row r="242" spans="2:28" ht="15" customHeight="1" x14ac:dyDescent="0.2">
      <c r="B242" s="31" t="s">
        <v>7</v>
      </c>
      <c r="C242" s="32" t="s">
        <v>27</v>
      </c>
      <c r="D242" s="32" t="s">
        <v>8</v>
      </c>
      <c r="E242" s="32" t="s">
        <v>20</v>
      </c>
      <c r="F242" s="32" t="s">
        <v>16</v>
      </c>
      <c r="G242" s="32" t="s">
        <v>11</v>
      </c>
      <c r="H242" s="32"/>
      <c r="I242" s="32"/>
      <c r="J242" s="202"/>
      <c r="K242" s="31"/>
      <c r="L242" s="414" t="s">
        <v>95</v>
      </c>
      <c r="M242" s="141"/>
      <c r="N242" s="141"/>
      <c r="O242" s="164"/>
      <c r="P242" s="164"/>
      <c r="Q242" s="34">
        <f>+Q243</f>
        <v>17000000</v>
      </c>
      <c r="R242" s="32"/>
      <c r="S242" s="35"/>
      <c r="T242" s="536"/>
      <c r="U242" s="556"/>
      <c r="V242" s="557"/>
      <c r="W242" s="477"/>
      <c r="X242" s="477"/>
      <c r="Y242" s="477"/>
      <c r="Z242" s="477"/>
      <c r="AA242" s="477"/>
      <c r="AB242" s="477"/>
    </row>
    <row r="243" spans="2:28" ht="30" customHeight="1" x14ac:dyDescent="0.2">
      <c r="B243" s="397" t="s">
        <v>7</v>
      </c>
      <c r="C243" s="395" t="s">
        <v>27</v>
      </c>
      <c r="D243" s="395" t="s">
        <v>8</v>
      </c>
      <c r="E243" s="395" t="s">
        <v>20</v>
      </c>
      <c r="F243" s="395" t="s">
        <v>16</v>
      </c>
      <c r="G243" s="395" t="s">
        <v>11</v>
      </c>
      <c r="H243" s="395" t="s">
        <v>8</v>
      </c>
      <c r="I243" s="395"/>
      <c r="J243" s="404"/>
      <c r="K243" s="397"/>
      <c r="L243" s="403" t="s">
        <v>122</v>
      </c>
      <c r="M243" s="133"/>
      <c r="N243" s="133"/>
      <c r="O243" s="156"/>
      <c r="P243" s="156"/>
      <c r="Q243" s="5">
        <f>SUM(Q244:Q244)</f>
        <v>17000000</v>
      </c>
      <c r="R243" s="181"/>
      <c r="S243" s="396"/>
      <c r="T243" s="530"/>
      <c r="U243" s="556"/>
      <c r="V243" s="557"/>
      <c r="W243" s="477"/>
      <c r="X243" s="477"/>
      <c r="Y243" s="477"/>
      <c r="Z243" s="477"/>
      <c r="AA243" s="477"/>
      <c r="AB243" s="477"/>
    </row>
    <row r="244" spans="2:28" ht="57" customHeight="1" x14ac:dyDescent="0.2">
      <c r="B244" s="397" t="s">
        <v>7</v>
      </c>
      <c r="C244" s="395" t="s">
        <v>27</v>
      </c>
      <c r="D244" s="395" t="s">
        <v>8</v>
      </c>
      <c r="E244" s="395" t="s">
        <v>20</v>
      </c>
      <c r="F244" s="395" t="s">
        <v>16</v>
      </c>
      <c r="G244" s="395" t="s">
        <v>11</v>
      </c>
      <c r="H244" s="395" t="s">
        <v>8</v>
      </c>
      <c r="I244" s="395" t="s">
        <v>21</v>
      </c>
      <c r="J244" s="404"/>
      <c r="K244" s="397"/>
      <c r="L244" s="403" t="s">
        <v>96</v>
      </c>
      <c r="M244" s="133"/>
      <c r="N244" s="133"/>
      <c r="O244" s="156"/>
      <c r="P244" s="156"/>
      <c r="Q244" s="5">
        <f>SUM(Q245:Q246)</f>
        <v>17000000</v>
      </c>
      <c r="R244" s="181"/>
      <c r="S244" s="396"/>
      <c r="T244" s="530"/>
      <c r="U244" s="556"/>
      <c r="V244" s="557"/>
      <c r="W244" s="477"/>
      <c r="X244" s="477"/>
      <c r="Y244" s="477"/>
      <c r="Z244" s="477"/>
      <c r="AA244" s="477"/>
      <c r="AB244" s="477"/>
    </row>
    <row r="245" spans="2:28" ht="30" x14ac:dyDescent="0.2">
      <c r="B245" s="623"/>
      <c r="C245" s="624"/>
      <c r="D245" s="624"/>
      <c r="E245" s="624"/>
      <c r="F245" s="624"/>
      <c r="G245" s="624"/>
      <c r="H245" s="624"/>
      <c r="I245" s="624"/>
      <c r="J245" s="624"/>
      <c r="K245" s="440" t="s">
        <v>656</v>
      </c>
      <c r="L245" s="400" t="s">
        <v>635</v>
      </c>
      <c r="M245" s="134" t="s">
        <v>553</v>
      </c>
      <c r="N245" s="134" t="s">
        <v>467</v>
      </c>
      <c r="O245" s="157" t="s">
        <v>551</v>
      </c>
      <c r="P245" s="157" t="s">
        <v>555</v>
      </c>
      <c r="Q245" s="101">
        <f>24000000-15000000</f>
        <v>9000000</v>
      </c>
      <c r="R245" s="401"/>
      <c r="S245" s="399"/>
      <c r="T245" s="521" t="s">
        <v>536</v>
      </c>
      <c r="U245" s="556"/>
      <c r="V245" s="557"/>
      <c r="W245" s="477"/>
      <c r="X245" s="477"/>
      <c r="Y245" s="477"/>
      <c r="Z245" s="477">
        <f t="shared" ref="Z245:Z246" si="184">+Q245-X245</f>
        <v>9000000</v>
      </c>
      <c r="AA245" s="477">
        <f t="shared" ref="AA245:AA246" si="185">+X245-Y245</f>
        <v>0</v>
      </c>
      <c r="AB245" s="477">
        <f t="shared" ref="AB245:AB246" si="186">+Q245+AA245-Y245</f>
        <v>9000000</v>
      </c>
    </row>
    <row r="246" spans="2:28" s="431" customFormat="1" ht="30" x14ac:dyDescent="0.2">
      <c r="B246" s="483"/>
      <c r="C246" s="484"/>
      <c r="D246" s="484"/>
      <c r="E246" s="484"/>
      <c r="F246" s="484"/>
      <c r="G246" s="484"/>
      <c r="H246" s="484"/>
      <c r="I246" s="484"/>
      <c r="J246" s="484"/>
      <c r="K246" s="438">
        <v>80101500</v>
      </c>
      <c r="L246" s="441" t="s">
        <v>557</v>
      </c>
      <c r="M246" s="134">
        <v>44793</v>
      </c>
      <c r="N246" s="134" t="s">
        <v>587</v>
      </c>
      <c r="O246" s="157" t="s">
        <v>539</v>
      </c>
      <c r="P246" s="157" t="s">
        <v>590</v>
      </c>
      <c r="Q246" s="101">
        <v>8000000</v>
      </c>
      <c r="R246" s="443"/>
      <c r="S246" s="439"/>
      <c r="T246" s="521" t="s">
        <v>536</v>
      </c>
      <c r="U246" s="556"/>
      <c r="V246" s="557"/>
      <c r="W246" s="477"/>
      <c r="X246" s="477"/>
      <c r="Y246" s="477"/>
      <c r="Z246" s="477">
        <f t="shared" si="184"/>
        <v>8000000</v>
      </c>
      <c r="AA246" s="477">
        <f t="shared" si="185"/>
        <v>0</v>
      </c>
      <c r="AB246" s="477">
        <f t="shared" si="186"/>
        <v>8000000</v>
      </c>
    </row>
    <row r="247" spans="2:28" ht="39" customHeight="1" x14ac:dyDescent="0.2">
      <c r="B247" s="31" t="s">
        <v>7</v>
      </c>
      <c r="C247" s="32" t="s">
        <v>27</v>
      </c>
      <c r="D247" s="32" t="s">
        <v>8</v>
      </c>
      <c r="E247" s="32" t="s">
        <v>20</v>
      </c>
      <c r="F247" s="32" t="s">
        <v>16</v>
      </c>
      <c r="G247" s="32" t="s">
        <v>13</v>
      </c>
      <c r="H247" s="32"/>
      <c r="I247" s="32"/>
      <c r="J247" s="202"/>
      <c r="K247" s="31"/>
      <c r="L247" s="414" t="s">
        <v>104</v>
      </c>
      <c r="M247" s="141"/>
      <c r="N247" s="141"/>
      <c r="O247" s="164"/>
      <c r="P247" s="164"/>
      <c r="Q247" s="34">
        <f>Q248+Q251</f>
        <v>1674013190.0033333</v>
      </c>
      <c r="R247" s="235"/>
      <c r="S247" s="35"/>
      <c r="T247" s="536"/>
      <c r="U247" s="556"/>
      <c r="V247" s="557"/>
      <c r="W247" s="477"/>
      <c r="X247" s="477"/>
      <c r="Y247" s="477"/>
      <c r="Z247" s="477"/>
      <c r="AA247" s="477"/>
      <c r="AB247" s="477"/>
    </row>
    <row r="248" spans="2:28" s="394" customFormat="1" ht="15" customHeight="1" x14ac:dyDescent="0.2">
      <c r="B248" s="397" t="s">
        <v>7</v>
      </c>
      <c r="C248" s="395" t="s">
        <v>27</v>
      </c>
      <c r="D248" s="395" t="s">
        <v>8</v>
      </c>
      <c r="E248" s="395" t="s">
        <v>20</v>
      </c>
      <c r="F248" s="395" t="s">
        <v>16</v>
      </c>
      <c r="G248" s="395" t="s">
        <v>13</v>
      </c>
      <c r="H248" s="395" t="s">
        <v>20</v>
      </c>
      <c r="I248" s="395"/>
      <c r="J248" s="404"/>
      <c r="K248" s="397"/>
      <c r="L248" s="403" t="s">
        <v>458</v>
      </c>
      <c r="M248" s="133"/>
      <c r="N248" s="133"/>
      <c r="O248" s="156"/>
      <c r="P248" s="156"/>
      <c r="Q248" s="5">
        <f>SUM(Q249:Q250)</f>
        <v>215183190</v>
      </c>
      <c r="R248" s="402"/>
      <c r="S248" s="396"/>
      <c r="T248" s="530"/>
      <c r="U248" s="556"/>
      <c r="V248" s="557"/>
      <c r="W248" s="477"/>
      <c r="X248" s="477"/>
      <c r="Y248" s="477"/>
      <c r="Z248" s="477"/>
      <c r="AA248" s="477"/>
      <c r="AB248" s="477"/>
    </row>
    <row r="249" spans="2:28" s="394" customFormat="1" ht="60" x14ac:dyDescent="0.2">
      <c r="B249" s="623"/>
      <c r="C249" s="624"/>
      <c r="D249" s="624"/>
      <c r="E249" s="624"/>
      <c r="F249" s="624"/>
      <c r="G249" s="624"/>
      <c r="H249" s="624"/>
      <c r="I249" s="624"/>
      <c r="J249" s="624"/>
      <c r="K249" s="438">
        <v>92121500</v>
      </c>
      <c r="L249" s="441" t="s">
        <v>611</v>
      </c>
      <c r="M249" s="134" t="s">
        <v>652</v>
      </c>
      <c r="N249" s="134" t="s">
        <v>652</v>
      </c>
      <c r="O249" s="157" t="s">
        <v>652</v>
      </c>
      <c r="P249" s="157" t="s">
        <v>546</v>
      </c>
      <c r="Q249" s="574">
        <f>87183190+48142627</f>
        <v>135325817</v>
      </c>
      <c r="R249" s="575"/>
      <c r="S249" s="439"/>
      <c r="T249" s="521" t="s">
        <v>221</v>
      </c>
      <c r="U249" s="556">
        <v>2622</v>
      </c>
      <c r="V249" s="557">
        <v>44572</v>
      </c>
      <c r="W249" s="477">
        <v>86813733.370000005</v>
      </c>
      <c r="X249" s="477">
        <v>134956360.37</v>
      </c>
      <c r="Y249" s="477">
        <v>134938427.37</v>
      </c>
      <c r="Z249" s="477">
        <f>+Q249-X249</f>
        <v>369456.62999999523</v>
      </c>
      <c r="AA249" s="477">
        <f t="shared" ref="AA249" si="187">+X249-Y249</f>
        <v>17933</v>
      </c>
      <c r="AB249" s="477">
        <f t="shared" ref="AB249" si="188">+Q249+AA249-Y249</f>
        <v>405322.62999999523</v>
      </c>
    </row>
    <row r="250" spans="2:28" s="431" customFormat="1" ht="60" x14ac:dyDescent="0.2">
      <c r="B250" s="483"/>
      <c r="C250" s="484"/>
      <c r="D250" s="484"/>
      <c r="E250" s="484"/>
      <c r="F250" s="484"/>
      <c r="G250" s="484"/>
      <c r="H250" s="484"/>
      <c r="I250" s="484"/>
      <c r="J250" s="484"/>
      <c r="K250" s="438">
        <v>92121500</v>
      </c>
      <c r="L250" s="441" t="s">
        <v>612</v>
      </c>
      <c r="M250" s="134">
        <v>44679</v>
      </c>
      <c r="N250" s="134" t="s">
        <v>528</v>
      </c>
      <c r="O250" s="157" t="s">
        <v>301</v>
      </c>
      <c r="P250" s="157" t="s">
        <v>317</v>
      </c>
      <c r="Q250" s="574">
        <f>128000000-48142627</f>
        <v>79857373</v>
      </c>
      <c r="R250" s="443" t="s">
        <v>322</v>
      </c>
      <c r="S250" s="493">
        <v>219000000</v>
      </c>
      <c r="T250" s="521" t="s">
        <v>221</v>
      </c>
      <c r="U250" s="556"/>
      <c r="V250" s="557"/>
      <c r="W250" s="477"/>
      <c r="X250" s="477"/>
      <c r="Y250" s="477"/>
      <c r="Z250" s="477">
        <f t="shared" ref="Z250" si="189">+Q250-X250</f>
        <v>79857373</v>
      </c>
      <c r="AA250" s="477">
        <f t="shared" ref="AA250" si="190">+X250-Y250</f>
        <v>0</v>
      </c>
      <c r="AB250" s="477">
        <f t="shared" ref="AB250" si="191">+Q250+AA250-Y250</f>
        <v>79857373</v>
      </c>
    </row>
    <row r="251" spans="2:28" ht="58.5" customHeight="1" x14ac:dyDescent="0.2">
      <c r="B251" s="397" t="s">
        <v>7</v>
      </c>
      <c r="C251" s="395" t="s">
        <v>27</v>
      </c>
      <c r="D251" s="395" t="s">
        <v>8</v>
      </c>
      <c r="E251" s="395" t="s">
        <v>20</v>
      </c>
      <c r="F251" s="395" t="s">
        <v>16</v>
      </c>
      <c r="G251" s="395" t="s">
        <v>13</v>
      </c>
      <c r="H251" s="395" t="s">
        <v>23</v>
      </c>
      <c r="I251" s="395"/>
      <c r="J251" s="404"/>
      <c r="K251" s="397"/>
      <c r="L251" s="403" t="s">
        <v>105</v>
      </c>
      <c r="M251" s="133"/>
      <c r="N251" s="133"/>
      <c r="O251" s="156"/>
      <c r="P251" s="156"/>
      <c r="Q251" s="5">
        <f>SUM(Q252:Q255)</f>
        <v>1458830000.0033333</v>
      </c>
      <c r="R251" s="402"/>
      <c r="S251" s="396"/>
      <c r="T251" s="530"/>
      <c r="U251" s="556"/>
      <c r="V251" s="557"/>
      <c r="W251" s="477"/>
      <c r="X251" s="477"/>
      <c r="Y251" s="477"/>
      <c r="Z251" s="477"/>
      <c r="AA251" s="477"/>
      <c r="AB251" s="477"/>
    </row>
    <row r="252" spans="2:28" ht="60" x14ac:dyDescent="0.2">
      <c r="B252" s="623"/>
      <c r="C252" s="624"/>
      <c r="D252" s="624"/>
      <c r="E252" s="624"/>
      <c r="F252" s="624"/>
      <c r="G252" s="624"/>
      <c r="H252" s="624"/>
      <c r="I252" s="624"/>
      <c r="J252" s="624"/>
      <c r="K252" s="438">
        <v>72154000</v>
      </c>
      <c r="L252" s="441" t="s">
        <v>512</v>
      </c>
      <c r="M252" s="134">
        <v>44682</v>
      </c>
      <c r="N252" s="134" t="s">
        <v>654</v>
      </c>
      <c r="O252" s="157" t="s">
        <v>307</v>
      </c>
      <c r="P252" s="157" t="s">
        <v>546</v>
      </c>
      <c r="Q252" s="493">
        <f>130000000-80000000</f>
        <v>50000000</v>
      </c>
      <c r="R252" s="443"/>
      <c r="S252" s="439"/>
      <c r="T252" s="521" t="s">
        <v>221</v>
      </c>
      <c r="U252" s="556"/>
      <c r="V252" s="557"/>
      <c r="W252" s="477"/>
      <c r="X252" s="477"/>
      <c r="Y252" s="477"/>
      <c r="Z252" s="477">
        <f t="shared" ref="Z252:Z253" si="192">+Q252-X252</f>
        <v>50000000</v>
      </c>
      <c r="AA252" s="477">
        <f t="shared" ref="AA252:AA255" si="193">+X252-Y252</f>
        <v>0</v>
      </c>
      <c r="AB252" s="477">
        <f t="shared" ref="AB252:AB255" si="194">+Q252+AA252-Y252</f>
        <v>50000000</v>
      </c>
    </row>
    <row r="253" spans="2:28" s="431" customFormat="1" ht="60" x14ac:dyDescent="0.2">
      <c r="B253" s="448"/>
      <c r="C253" s="449"/>
      <c r="D253" s="449"/>
      <c r="E253" s="449"/>
      <c r="F253" s="449"/>
      <c r="G253" s="449"/>
      <c r="H253" s="449"/>
      <c r="I253" s="449"/>
      <c r="J253" s="449"/>
      <c r="K253" s="438">
        <v>72102100</v>
      </c>
      <c r="L253" s="441" t="s">
        <v>613</v>
      </c>
      <c r="M253" s="134">
        <v>44682</v>
      </c>
      <c r="N253" s="134" t="s">
        <v>533</v>
      </c>
      <c r="O253" s="157" t="s">
        <v>307</v>
      </c>
      <c r="P253" s="157" t="s">
        <v>546</v>
      </c>
      <c r="Q253" s="493">
        <v>100000000</v>
      </c>
      <c r="R253" s="443"/>
      <c r="S253" s="439"/>
      <c r="T253" s="521" t="s">
        <v>221</v>
      </c>
      <c r="U253" s="556"/>
      <c r="V253" s="557"/>
      <c r="W253" s="477"/>
      <c r="X253" s="477"/>
      <c r="Y253" s="477"/>
      <c r="Z253" s="477">
        <f t="shared" si="192"/>
        <v>100000000</v>
      </c>
      <c r="AA253" s="477">
        <f t="shared" si="193"/>
        <v>0</v>
      </c>
      <c r="AB253" s="477">
        <f t="shared" si="194"/>
        <v>100000000</v>
      </c>
    </row>
    <row r="254" spans="2:28" s="240" customFormat="1" ht="45" x14ac:dyDescent="0.2">
      <c r="B254" s="522"/>
      <c r="C254" s="523"/>
      <c r="D254" s="523"/>
      <c r="E254" s="523"/>
      <c r="F254" s="523"/>
      <c r="G254" s="523"/>
      <c r="H254" s="523"/>
      <c r="I254" s="523"/>
      <c r="J254" s="523"/>
      <c r="K254" s="438">
        <v>76111500</v>
      </c>
      <c r="L254" s="441" t="s">
        <v>513</v>
      </c>
      <c r="M254" s="134">
        <v>44572</v>
      </c>
      <c r="N254" s="134" t="s">
        <v>472</v>
      </c>
      <c r="O254" s="157" t="s">
        <v>296</v>
      </c>
      <c r="P254" s="157" t="s">
        <v>642</v>
      </c>
      <c r="Q254" s="493">
        <v>763484166.66999996</v>
      </c>
      <c r="R254" s="443"/>
      <c r="S254" s="439"/>
      <c r="T254" s="521" t="s">
        <v>221</v>
      </c>
      <c r="U254" s="561">
        <v>222</v>
      </c>
      <c r="V254" s="566">
        <v>44566</v>
      </c>
      <c r="W254" s="490">
        <v>763484166.66999996</v>
      </c>
      <c r="X254" s="592">
        <v>763484166.66999996</v>
      </c>
      <c r="Y254" s="490">
        <v>612044061.15999997</v>
      </c>
      <c r="Z254" s="477">
        <f>+Q254-X254</f>
        <v>0</v>
      </c>
      <c r="AA254" s="477">
        <f t="shared" si="193"/>
        <v>151440105.50999999</v>
      </c>
      <c r="AB254" s="477">
        <f t="shared" si="194"/>
        <v>302880211.01999998</v>
      </c>
    </row>
    <row r="255" spans="2:28" s="431" customFormat="1" ht="66.75" customHeight="1" x14ac:dyDescent="0.2">
      <c r="B255" s="499"/>
      <c r="C255" s="500"/>
      <c r="D255" s="500"/>
      <c r="E255" s="500"/>
      <c r="F255" s="500"/>
      <c r="G255" s="500"/>
      <c r="H255" s="500"/>
      <c r="I255" s="500"/>
      <c r="J255" s="500"/>
      <c r="K255" s="438">
        <v>76111500</v>
      </c>
      <c r="L255" s="441" t="s">
        <v>655</v>
      </c>
      <c r="M255" s="134">
        <v>44743</v>
      </c>
      <c r="N255" s="134" t="s">
        <v>582</v>
      </c>
      <c r="O255" s="157" t="s">
        <v>301</v>
      </c>
      <c r="P255" s="157" t="s">
        <v>317</v>
      </c>
      <c r="Q255" s="493">
        <v>545345833.33333337</v>
      </c>
      <c r="R255" s="443" t="s">
        <v>322</v>
      </c>
      <c r="S255" s="493">
        <f>+Q254</f>
        <v>763484166.66999996</v>
      </c>
      <c r="T255" s="521" t="s">
        <v>221</v>
      </c>
      <c r="U255" s="556"/>
      <c r="V255" s="557"/>
      <c r="W255" s="477"/>
      <c r="X255" s="477"/>
      <c r="Y255" s="477"/>
      <c r="Z255" s="477">
        <f>+Q255-X255</f>
        <v>545345833.33333337</v>
      </c>
      <c r="AA255" s="477">
        <f t="shared" si="193"/>
        <v>0</v>
      </c>
      <c r="AB255" s="477">
        <f t="shared" si="194"/>
        <v>545345833.33333337</v>
      </c>
    </row>
    <row r="256" spans="2:28" ht="30" customHeight="1" x14ac:dyDescent="0.2">
      <c r="B256" s="31" t="s">
        <v>7</v>
      </c>
      <c r="C256" s="32" t="s">
        <v>27</v>
      </c>
      <c r="D256" s="32" t="s">
        <v>8</v>
      </c>
      <c r="E256" s="32" t="s">
        <v>20</v>
      </c>
      <c r="F256" s="32" t="s">
        <v>16</v>
      </c>
      <c r="G256" s="32" t="s">
        <v>15</v>
      </c>
      <c r="H256" s="32"/>
      <c r="I256" s="32"/>
      <c r="J256" s="202"/>
      <c r="K256" s="31"/>
      <c r="L256" s="414" t="s">
        <v>106</v>
      </c>
      <c r="M256" s="141"/>
      <c r="N256" s="141"/>
      <c r="O256" s="164"/>
      <c r="P256" s="164"/>
      <c r="Q256" s="34">
        <f>+Q257</f>
        <v>268000000</v>
      </c>
      <c r="R256" s="32"/>
      <c r="S256" s="35"/>
      <c r="T256" s="536"/>
      <c r="U256" s="556"/>
      <c r="V256" s="557"/>
      <c r="W256" s="477"/>
      <c r="X256" s="477"/>
      <c r="Y256" s="477"/>
      <c r="Z256" s="477"/>
      <c r="AA256" s="477"/>
      <c r="AB256" s="477"/>
    </row>
    <row r="257" spans="2:28" ht="30" customHeight="1" x14ac:dyDescent="0.2">
      <c r="B257" s="397" t="s">
        <v>7</v>
      </c>
      <c r="C257" s="395" t="s">
        <v>27</v>
      </c>
      <c r="D257" s="395" t="s">
        <v>8</v>
      </c>
      <c r="E257" s="395" t="s">
        <v>20</v>
      </c>
      <c r="F257" s="395" t="s">
        <v>16</v>
      </c>
      <c r="G257" s="395" t="s">
        <v>15</v>
      </c>
      <c r="H257" s="395" t="s">
        <v>8</v>
      </c>
      <c r="I257" s="395"/>
      <c r="J257" s="404"/>
      <c r="K257" s="397"/>
      <c r="L257" s="403" t="s">
        <v>107</v>
      </c>
      <c r="M257" s="133"/>
      <c r="N257" s="133"/>
      <c r="O257" s="156"/>
      <c r="P257" s="156"/>
      <c r="Q257" s="5">
        <f>SUM(Q258:Q258)</f>
        <v>268000000</v>
      </c>
      <c r="R257" s="181"/>
      <c r="S257" s="396"/>
      <c r="T257" s="530"/>
      <c r="U257" s="556"/>
      <c r="V257" s="557"/>
      <c r="W257" s="477"/>
      <c r="X257" s="477"/>
      <c r="Y257" s="477"/>
      <c r="Z257" s="477"/>
      <c r="AA257" s="477"/>
      <c r="AB257" s="477"/>
    </row>
    <row r="258" spans="2:28" ht="30" customHeight="1" x14ac:dyDescent="0.2">
      <c r="B258" s="397" t="s">
        <v>7</v>
      </c>
      <c r="C258" s="395" t="s">
        <v>27</v>
      </c>
      <c r="D258" s="395" t="s">
        <v>8</v>
      </c>
      <c r="E258" s="395" t="s">
        <v>20</v>
      </c>
      <c r="F258" s="395" t="s">
        <v>16</v>
      </c>
      <c r="G258" s="395" t="s">
        <v>15</v>
      </c>
      <c r="H258" s="395" t="s">
        <v>8</v>
      </c>
      <c r="I258" s="395" t="s">
        <v>34</v>
      </c>
      <c r="J258" s="404"/>
      <c r="K258" s="397"/>
      <c r="L258" s="403" t="s">
        <v>108</v>
      </c>
      <c r="M258" s="133"/>
      <c r="N258" s="133"/>
      <c r="O258" s="156"/>
      <c r="P258" s="156"/>
      <c r="Q258" s="5">
        <f>SUM(Q259:Q261)</f>
        <v>268000000</v>
      </c>
      <c r="R258" s="402"/>
      <c r="S258" s="396"/>
      <c r="T258" s="530"/>
      <c r="U258" s="556"/>
      <c r="V258" s="557"/>
      <c r="W258" s="477"/>
      <c r="X258" s="477"/>
      <c r="Y258" s="477"/>
      <c r="Z258" s="477"/>
      <c r="AA258" s="477"/>
      <c r="AB258" s="477"/>
    </row>
    <row r="259" spans="2:28" ht="60" x14ac:dyDescent="0.2">
      <c r="B259" s="625"/>
      <c r="C259" s="626"/>
      <c r="D259" s="626"/>
      <c r="E259" s="626"/>
      <c r="F259" s="626"/>
      <c r="G259" s="626"/>
      <c r="H259" s="626"/>
      <c r="I259" s="626"/>
      <c r="J259" s="626"/>
      <c r="K259" s="438">
        <v>73152100</v>
      </c>
      <c r="L259" s="441" t="s">
        <v>514</v>
      </c>
      <c r="M259" s="134">
        <v>44652</v>
      </c>
      <c r="N259" s="134" t="s">
        <v>528</v>
      </c>
      <c r="O259" s="157" t="s">
        <v>515</v>
      </c>
      <c r="P259" s="157" t="s">
        <v>546</v>
      </c>
      <c r="Q259" s="101">
        <v>46000000</v>
      </c>
      <c r="R259" s="443"/>
      <c r="S259" s="439"/>
      <c r="T259" s="521" t="s">
        <v>221</v>
      </c>
      <c r="U259" s="556"/>
      <c r="V259" s="557"/>
      <c r="W259" s="477"/>
      <c r="X259" s="477"/>
      <c r="Y259" s="477"/>
      <c r="Z259" s="477">
        <f t="shared" ref="Z259" si="195">+Q259-X259</f>
        <v>46000000</v>
      </c>
      <c r="AA259" s="477">
        <f t="shared" ref="AA259" si="196">+X259-Y259</f>
        <v>0</v>
      </c>
      <c r="AB259" s="477">
        <f t="shared" ref="AB259" si="197">+Q259+AA259-Y259</f>
        <v>46000000</v>
      </c>
    </row>
    <row r="260" spans="2:28" s="431" customFormat="1" ht="60" x14ac:dyDescent="0.2">
      <c r="B260" s="579"/>
      <c r="C260" s="580"/>
      <c r="D260" s="580"/>
      <c r="E260" s="580"/>
      <c r="F260" s="580"/>
      <c r="G260" s="580"/>
      <c r="H260" s="580"/>
      <c r="I260" s="580"/>
      <c r="J260" s="580"/>
      <c r="K260" s="440">
        <v>81141804</v>
      </c>
      <c r="L260" s="441" t="s">
        <v>749</v>
      </c>
      <c r="M260" s="134">
        <v>44652</v>
      </c>
      <c r="N260" s="134" t="s">
        <v>528</v>
      </c>
      <c r="O260" s="157" t="s">
        <v>468</v>
      </c>
      <c r="P260" s="157" t="s">
        <v>750</v>
      </c>
      <c r="Q260" s="101">
        <v>15000000</v>
      </c>
      <c r="R260" s="443"/>
      <c r="S260" s="439"/>
      <c r="T260" s="521" t="s">
        <v>536</v>
      </c>
      <c r="U260" s="556"/>
      <c r="V260" s="557"/>
      <c r="W260" s="477"/>
      <c r="X260" s="477"/>
      <c r="Y260" s="477"/>
      <c r="Z260" s="477"/>
      <c r="AA260" s="477"/>
      <c r="AB260" s="477"/>
    </row>
    <row r="261" spans="2:28" ht="60" x14ac:dyDescent="0.2">
      <c r="B261" s="426"/>
      <c r="C261" s="427"/>
      <c r="D261" s="427"/>
      <c r="E261" s="427"/>
      <c r="F261" s="427"/>
      <c r="G261" s="427"/>
      <c r="H261" s="427"/>
      <c r="I261" s="427"/>
      <c r="J261" s="427"/>
      <c r="K261" s="440" t="s">
        <v>558</v>
      </c>
      <c r="L261" s="400" t="s">
        <v>559</v>
      </c>
      <c r="M261" s="134">
        <v>44621</v>
      </c>
      <c r="N261" s="134" t="s">
        <v>467</v>
      </c>
      <c r="O261" s="157" t="s">
        <v>534</v>
      </c>
      <c r="P261" s="157" t="s">
        <v>546</v>
      </c>
      <c r="Q261" s="101">
        <f>60000000+147000000</f>
        <v>207000000</v>
      </c>
      <c r="R261" s="401" t="s">
        <v>386</v>
      </c>
      <c r="S261" s="399"/>
      <c r="T261" s="521" t="s">
        <v>536</v>
      </c>
      <c r="U261" s="556"/>
      <c r="V261" s="557"/>
      <c r="W261" s="477"/>
      <c r="X261" s="477"/>
      <c r="Y261" s="477"/>
      <c r="Z261" s="477">
        <f t="shared" ref="Z261" si="198">+Q261-X261</f>
        <v>207000000</v>
      </c>
      <c r="AA261" s="477">
        <f t="shared" ref="AA261" si="199">+X261-Y261</f>
        <v>0</v>
      </c>
      <c r="AB261" s="477">
        <f t="shared" ref="AB261" si="200">+Q261+AA261-Y261</f>
        <v>207000000</v>
      </c>
    </row>
    <row r="262" spans="2:28" ht="15.75" customHeight="1" x14ac:dyDescent="0.25">
      <c r="B262" s="63" t="s">
        <v>7</v>
      </c>
      <c r="C262" s="64" t="s">
        <v>29</v>
      </c>
      <c r="D262" s="64"/>
      <c r="E262" s="64"/>
      <c r="F262" s="64"/>
      <c r="G262" s="64"/>
      <c r="H262" s="64"/>
      <c r="I262" s="64"/>
      <c r="J262" s="203"/>
      <c r="K262" s="63"/>
      <c r="L262" s="415" t="s">
        <v>123</v>
      </c>
      <c r="M262" s="142"/>
      <c r="N262" s="142"/>
      <c r="O262" s="165"/>
      <c r="P262" s="165"/>
      <c r="Q262" s="62">
        <f>+Q263+Q265</f>
        <v>5706000000</v>
      </c>
      <c r="R262" s="226"/>
      <c r="S262" s="65"/>
      <c r="T262" s="537"/>
      <c r="U262" s="560"/>
      <c r="V262" s="565"/>
      <c r="W262" s="475"/>
      <c r="X262" s="475"/>
      <c r="Y262" s="475"/>
      <c r="Z262" s="475"/>
      <c r="AA262" s="475"/>
      <c r="AB262" s="475"/>
    </row>
    <row r="263" spans="2:28" ht="15.75" customHeight="1" x14ac:dyDescent="0.25">
      <c r="B263" s="71" t="s">
        <v>7</v>
      </c>
      <c r="C263" s="72" t="s">
        <v>29</v>
      </c>
      <c r="D263" s="72" t="s">
        <v>8</v>
      </c>
      <c r="E263" s="72"/>
      <c r="F263" s="72"/>
      <c r="G263" s="72"/>
      <c r="H263" s="72"/>
      <c r="I263" s="72"/>
      <c r="J263" s="204"/>
      <c r="K263" s="71"/>
      <c r="L263" s="416" t="s">
        <v>124</v>
      </c>
      <c r="M263" s="143"/>
      <c r="N263" s="143"/>
      <c r="O263" s="166"/>
      <c r="P263" s="166"/>
      <c r="Q263" s="74">
        <f>SUM(Q264:Q264)</f>
        <v>106000000</v>
      </c>
      <c r="R263" s="72"/>
      <c r="S263" s="75"/>
      <c r="T263" s="538"/>
      <c r="U263" s="560"/>
      <c r="V263" s="565"/>
      <c r="W263" s="475"/>
      <c r="X263" s="475"/>
      <c r="Y263" s="475"/>
      <c r="Z263" s="475"/>
      <c r="AA263" s="475"/>
      <c r="AB263" s="475"/>
    </row>
    <row r="264" spans="2:28" ht="15.75" x14ac:dyDescent="0.2">
      <c r="B264" s="630"/>
      <c r="C264" s="631"/>
      <c r="D264" s="631"/>
      <c r="E264" s="631"/>
      <c r="F264" s="631"/>
      <c r="G264" s="631"/>
      <c r="H264" s="631"/>
      <c r="I264" s="631"/>
      <c r="J264" s="631"/>
      <c r="K264" s="122"/>
      <c r="L264" s="405" t="s">
        <v>124</v>
      </c>
      <c r="M264" s="157"/>
      <c r="N264" s="157"/>
      <c r="O264" s="157"/>
      <c r="P264" s="157"/>
      <c r="Q264" s="101">
        <v>106000000</v>
      </c>
      <c r="R264" s="401"/>
      <c r="S264" s="123"/>
      <c r="T264" s="539"/>
      <c r="U264" s="556">
        <v>9422</v>
      </c>
      <c r="V264" s="557">
        <v>44586</v>
      </c>
      <c r="W264" s="477">
        <v>38000000</v>
      </c>
      <c r="X264" s="477">
        <v>38000000</v>
      </c>
      <c r="Y264" s="477"/>
      <c r="Z264" s="477">
        <f t="shared" ref="Z264" si="201">+Q264-X264</f>
        <v>68000000</v>
      </c>
      <c r="AA264" s="477">
        <f t="shared" ref="AA264" si="202">+X264-Y264</f>
        <v>38000000</v>
      </c>
      <c r="AB264" s="477">
        <f t="shared" ref="AB264" si="203">+Q264+AA264-Y264</f>
        <v>144000000</v>
      </c>
    </row>
    <row r="265" spans="2:28" ht="15.75" customHeight="1" x14ac:dyDescent="0.25">
      <c r="B265" s="71" t="s">
        <v>7</v>
      </c>
      <c r="C265" s="72" t="s">
        <v>29</v>
      </c>
      <c r="D265" s="72" t="s">
        <v>23</v>
      </c>
      <c r="E265" s="72"/>
      <c r="F265" s="72"/>
      <c r="G265" s="72"/>
      <c r="H265" s="72"/>
      <c r="I265" s="72"/>
      <c r="J265" s="204"/>
      <c r="K265" s="71"/>
      <c r="L265" s="416" t="s">
        <v>125</v>
      </c>
      <c r="M265" s="143"/>
      <c r="N265" s="143"/>
      <c r="O265" s="166"/>
      <c r="P265" s="166"/>
      <c r="Q265" s="74">
        <f>SUM(Q266:Q266)</f>
        <v>5600000000</v>
      </c>
      <c r="R265" s="72"/>
      <c r="S265" s="75"/>
      <c r="T265" s="538"/>
      <c r="U265" s="560"/>
      <c r="V265" s="565"/>
      <c r="W265" s="475"/>
      <c r="X265" s="475"/>
      <c r="Y265" s="475"/>
      <c r="Z265" s="475"/>
      <c r="AA265" s="475"/>
      <c r="AB265" s="475"/>
    </row>
    <row r="266" spans="2:28" ht="15.75" x14ac:dyDescent="0.2">
      <c r="B266" s="630"/>
      <c r="C266" s="631"/>
      <c r="D266" s="631"/>
      <c r="E266" s="631"/>
      <c r="F266" s="631"/>
      <c r="G266" s="631"/>
      <c r="H266" s="631"/>
      <c r="I266" s="631"/>
      <c r="J266" s="631"/>
      <c r="K266" s="122"/>
      <c r="L266" s="405" t="s">
        <v>261</v>
      </c>
      <c r="M266" s="157" t="s">
        <v>375</v>
      </c>
      <c r="N266" s="157" t="s">
        <v>375</v>
      </c>
      <c r="O266" s="157" t="s">
        <v>375</v>
      </c>
      <c r="P266" s="157" t="s">
        <v>375</v>
      </c>
      <c r="Q266" s="101">
        <v>5600000000</v>
      </c>
      <c r="R266" s="443" t="s">
        <v>386</v>
      </c>
      <c r="S266" s="123"/>
      <c r="T266" s="539" t="s">
        <v>271</v>
      </c>
      <c r="U266" s="556" t="s">
        <v>733</v>
      </c>
      <c r="V266" s="556" t="s">
        <v>733</v>
      </c>
      <c r="W266" s="476">
        <v>190229176.22999999</v>
      </c>
      <c r="X266" s="476">
        <v>190229176.22999999</v>
      </c>
      <c r="Y266" s="476"/>
      <c r="Z266" s="476"/>
      <c r="AA266" s="476"/>
      <c r="AB266" s="476"/>
    </row>
    <row r="267" spans="2:28" ht="15.6" customHeight="1" x14ac:dyDescent="0.25">
      <c r="B267" s="78" t="s">
        <v>7</v>
      </c>
      <c r="C267" s="79" t="s">
        <v>30</v>
      </c>
      <c r="D267" s="79"/>
      <c r="E267" s="79"/>
      <c r="F267" s="79"/>
      <c r="G267" s="79"/>
      <c r="H267" s="79"/>
      <c r="I267" s="79"/>
      <c r="J267" s="205"/>
      <c r="K267" s="78"/>
      <c r="L267" s="417" t="s">
        <v>126</v>
      </c>
      <c r="M267" s="144"/>
      <c r="N267" s="144"/>
      <c r="O267" s="167"/>
      <c r="P267" s="167"/>
      <c r="Q267" s="77">
        <f>+Q268+Q276+Q279</f>
        <v>3750000000</v>
      </c>
      <c r="R267" s="79"/>
      <c r="S267" s="80"/>
      <c r="T267" s="540"/>
      <c r="U267" s="560"/>
      <c r="V267" s="565"/>
      <c r="W267" s="475"/>
      <c r="X267" s="475"/>
      <c r="Y267" s="475"/>
      <c r="Z267" s="475"/>
      <c r="AA267" s="475"/>
      <c r="AB267" s="475"/>
    </row>
    <row r="268" spans="2:28" ht="15.75" customHeight="1" x14ac:dyDescent="0.25">
      <c r="B268" s="81" t="s">
        <v>7</v>
      </c>
      <c r="C268" s="82" t="s">
        <v>30</v>
      </c>
      <c r="D268" s="82" t="s">
        <v>8</v>
      </c>
      <c r="E268" s="82"/>
      <c r="F268" s="82"/>
      <c r="G268" s="82"/>
      <c r="H268" s="82"/>
      <c r="I268" s="82"/>
      <c r="J268" s="206"/>
      <c r="K268" s="81"/>
      <c r="L268" s="418" t="s">
        <v>127</v>
      </c>
      <c r="M268" s="145"/>
      <c r="N268" s="145"/>
      <c r="O268" s="168"/>
      <c r="P268" s="168"/>
      <c r="Q268" s="84">
        <f>+Q269</f>
        <v>3363000000</v>
      </c>
      <c r="R268" s="82"/>
      <c r="S268" s="85"/>
      <c r="T268" s="541"/>
      <c r="U268" s="560"/>
      <c r="V268" s="565"/>
      <c r="W268" s="475"/>
      <c r="X268" s="475"/>
      <c r="Y268" s="475"/>
      <c r="Z268" s="475"/>
      <c r="AA268" s="475"/>
      <c r="AB268" s="475"/>
    </row>
    <row r="269" spans="2:28" ht="15" customHeight="1" x14ac:dyDescent="0.2">
      <c r="B269" s="66" t="s">
        <v>7</v>
      </c>
      <c r="C269" s="67" t="s">
        <v>30</v>
      </c>
      <c r="D269" s="67" t="s">
        <v>8</v>
      </c>
      <c r="E269" s="67" t="s">
        <v>20</v>
      </c>
      <c r="F269" s="67"/>
      <c r="G269" s="67"/>
      <c r="H269" s="67"/>
      <c r="I269" s="67"/>
      <c r="J269" s="207"/>
      <c r="K269" s="66"/>
      <c r="L269" s="419" t="s">
        <v>128</v>
      </c>
      <c r="M269" s="146"/>
      <c r="N269" s="146"/>
      <c r="O269" s="169"/>
      <c r="P269" s="169"/>
      <c r="Q269" s="69">
        <f>+Q270+Q272+Q274</f>
        <v>3363000000</v>
      </c>
      <c r="R269" s="67"/>
      <c r="S269" s="512"/>
      <c r="T269" s="542"/>
      <c r="U269" s="556"/>
      <c r="V269" s="557"/>
      <c r="W269" s="477"/>
      <c r="X269" s="477"/>
      <c r="Y269" s="477"/>
      <c r="Z269" s="477"/>
      <c r="AA269" s="477"/>
      <c r="AB269" s="477"/>
    </row>
    <row r="270" spans="2:28" ht="15" customHeight="1" x14ac:dyDescent="0.2">
      <c r="B270" s="13" t="s">
        <v>7</v>
      </c>
      <c r="C270" s="14" t="s">
        <v>30</v>
      </c>
      <c r="D270" s="14" t="s">
        <v>8</v>
      </c>
      <c r="E270" s="14" t="s">
        <v>20</v>
      </c>
      <c r="F270" s="14" t="s">
        <v>9</v>
      </c>
      <c r="G270" s="14"/>
      <c r="H270" s="14"/>
      <c r="I270" s="14"/>
      <c r="J270" s="195"/>
      <c r="K270" s="13"/>
      <c r="L270" s="409" t="s">
        <v>129</v>
      </c>
      <c r="M270" s="131"/>
      <c r="N270" s="131"/>
      <c r="O270" s="154"/>
      <c r="P270" s="154"/>
      <c r="Q270" s="16">
        <f>SUM(Q271:Q271)</f>
        <v>3285000000</v>
      </c>
      <c r="R270" s="14"/>
      <c r="S270" s="17"/>
      <c r="T270" s="527"/>
      <c r="U270" s="556"/>
      <c r="V270" s="557"/>
      <c r="W270" s="477"/>
      <c r="X270" s="477"/>
      <c r="Y270" s="477"/>
      <c r="Z270" s="477"/>
      <c r="AA270" s="477"/>
      <c r="AB270" s="477"/>
    </row>
    <row r="271" spans="2:28" x14ac:dyDescent="0.2">
      <c r="B271" s="623"/>
      <c r="C271" s="624"/>
      <c r="D271" s="624"/>
      <c r="E271" s="624"/>
      <c r="F271" s="624"/>
      <c r="G271" s="624"/>
      <c r="H271" s="624"/>
      <c r="I271" s="624"/>
      <c r="J271" s="624"/>
      <c r="K271" s="122"/>
      <c r="L271" s="405" t="s">
        <v>560</v>
      </c>
      <c r="M271" s="157"/>
      <c r="N271" s="157"/>
      <c r="O271" s="157"/>
      <c r="P271" s="157"/>
      <c r="Q271" s="101">
        <v>3285000000</v>
      </c>
      <c r="R271" s="443" t="s">
        <v>350</v>
      </c>
      <c r="S271" s="485"/>
      <c r="T271" s="539" t="s">
        <v>268</v>
      </c>
      <c r="U271" s="556" t="s">
        <v>741</v>
      </c>
      <c r="V271" s="557">
        <v>44587</v>
      </c>
      <c r="W271" s="477">
        <v>104084171</v>
      </c>
      <c r="X271" s="477">
        <v>104084171</v>
      </c>
      <c r="Y271" s="477"/>
      <c r="Z271" s="477"/>
      <c r="AA271" s="477"/>
      <c r="AB271" s="477"/>
    </row>
    <row r="272" spans="2:28" ht="15" customHeight="1" x14ac:dyDescent="0.2">
      <c r="B272" s="13" t="s">
        <v>7</v>
      </c>
      <c r="C272" s="14" t="s">
        <v>30</v>
      </c>
      <c r="D272" s="14" t="s">
        <v>8</v>
      </c>
      <c r="E272" s="14" t="s">
        <v>20</v>
      </c>
      <c r="F272" s="14" t="s">
        <v>11</v>
      </c>
      <c r="G272" s="14"/>
      <c r="H272" s="14"/>
      <c r="I272" s="14"/>
      <c r="J272" s="195"/>
      <c r="K272" s="13"/>
      <c r="L272" s="409" t="s">
        <v>130</v>
      </c>
      <c r="M272" s="131"/>
      <c r="N272" s="131"/>
      <c r="O272" s="154"/>
      <c r="P272" s="154"/>
      <c r="Q272" s="16">
        <f>SUM(Q273:Q273)</f>
        <v>75000000</v>
      </c>
      <c r="R272" s="14"/>
      <c r="S272" s="17"/>
      <c r="T272" s="527"/>
      <c r="U272" s="556"/>
      <c r="V272" s="557"/>
      <c r="W272" s="477"/>
      <c r="X272" s="477"/>
      <c r="Y272" s="477"/>
      <c r="Z272" s="477"/>
      <c r="AA272" s="477"/>
      <c r="AB272" s="477"/>
    </row>
    <row r="273" spans="2:28" x14ac:dyDescent="0.2">
      <c r="B273" s="623"/>
      <c r="C273" s="624"/>
      <c r="D273" s="624"/>
      <c r="E273" s="624"/>
      <c r="F273" s="624"/>
      <c r="G273" s="624"/>
      <c r="H273" s="624"/>
      <c r="I273" s="624"/>
      <c r="J273" s="624"/>
      <c r="K273" s="398"/>
      <c r="L273" s="400" t="s">
        <v>130</v>
      </c>
      <c r="M273" s="157"/>
      <c r="N273" s="157"/>
      <c r="O273" s="157"/>
      <c r="P273" s="157"/>
      <c r="Q273" s="101">
        <v>75000000</v>
      </c>
      <c r="R273" s="401"/>
      <c r="S273" s="399"/>
      <c r="T273" s="521"/>
      <c r="U273" s="556">
        <v>8722</v>
      </c>
      <c r="V273" s="557">
        <v>44585</v>
      </c>
      <c r="W273" s="477">
        <v>11041476</v>
      </c>
      <c r="X273" s="477">
        <v>11041476</v>
      </c>
      <c r="Y273" s="477"/>
      <c r="Z273" s="477"/>
      <c r="AA273" s="477"/>
      <c r="AB273" s="477"/>
    </row>
    <row r="274" spans="2:28" ht="15" customHeight="1" x14ac:dyDescent="0.2">
      <c r="B274" s="13" t="s">
        <v>7</v>
      </c>
      <c r="C274" s="14" t="s">
        <v>30</v>
      </c>
      <c r="D274" s="14" t="s">
        <v>8</v>
      </c>
      <c r="E274" s="14" t="s">
        <v>20</v>
      </c>
      <c r="F274" s="14" t="s">
        <v>14</v>
      </c>
      <c r="G274" s="14"/>
      <c r="H274" s="14"/>
      <c r="I274" s="14"/>
      <c r="J274" s="195"/>
      <c r="K274" s="13"/>
      <c r="L274" s="409" t="s">
        <v>131</v>
      </c>
      <c r="M274" s="131"/>
      <c r="N274" s="131"/>
      <c r="O274" s="154"/>
      <c r="P274" s="154"/>
      <c r="Q274" s="16">
        <f>SUM(Q275:Q275)</f>
        <v>3000000</v>
      </c>
      <c r="R274" s="14"/>
      <c r="S274" s="17"/>
      <c r="T274" s="527"/>
      <c r="U274" s="556"/>
      <c r="V274" s="557"/>
      <c r="W274" s="477"/>
      <c r="X274" s="477"/>
      <c r="Y274" s="477"/>
      <c r="Z274" s="477"/>
      <c r="AA274" s="477"/>
      <c r="AB274" s="477"/>
    </row>
    <row r="275" spans="2:28" ht="15" customHeight="1" x14ac:dyDescent="0.2">
      <c r="B275" s="623"/>
      <c r="C275" s="624"/>
      <c r="D275" s="624"/>
      <c r="E275" s="624"/>
      <c r="F275" s="624"/>
      <c r="G275" s="624"/>
      <c r="H275" s="624"/>
      <c r="I275" s="624"/>
      <c r="J275" s="624"/>
      <c r="K275" s="438"/>
      <c r="L275" s="441" t="s">
        <v>580</v>
      </c>
      <c r="M275" s="157" t="s">
        <v>375</v>
      </c>
      <c r="N275" s="157" t="s">
        <v>375</v>
      </c>
      <c r="O275" s="157" t="s">
        <v>375</v>
      </c>
      <c r="P275" s="157" t="s">
        <v>375</v>
      </c>
      <c r="Q275" s="101">
        <v>3000000</v>
      </c>
      <c r="R275" s="443"/>
      <c r="S275" s="439"/>
      <c r="T275" s="521" t="s">
        <v>577</v>
      </c>
      <c r="U275" s="556"/>
      <c r="V275" s="557"/>
      <c r="W275" s="477"/>
      <c r="X275" s="477"/>
      <c r="Y275" s="477"/>
      <c r="Z275" s="477"/>
      <c r="AA275" s="477"/>
      <c r="AB275" s="477"/>
    </row>
    <row r="276" spans="2:28" ht="15.75" customHeight="1" x14ac:dyDescent="0.25">
      <c r="B276" s="81" t="s">
        <v>7</v>
      </c>
      <c r="C276" s="82" t="s">
        <v>30</v>
      </c>
      <c r="D276" s="82" t="s">
        <v>24</v>
      </c>
      <c r="E276" s="82"/>
      <c r="F276" s="82"/>
      <c r="G276" s="82"/>
      <c r="H276" s="82"/>
      <c r="I276" s="82"/>
      <c r="J276" s="206"/>
      <c r="K276" s="81"/>
      <c r="L276" s="418" t="s">
        <v>132</v>
      </c>
      <c r="M276" s="145"/>
      <c r="N276" s="145"/>
      <c r="O276" s="168"/>
      <c r="P276" s="168"/>
      <c r="Q276" s="84">
        <f>+Q277+Q278</f>
        <v>340000000</v>
      </c>
      <c r="R276" s="82"/>
      <c r="S276" s="85"/>
      <c r="T276" s="541"/>
      <c r="U276" s="560"/>
      <c r="V276" s="565"/>
      <c r="W276" s="475"/>
      <c r="X276" s="475"/>
      <c r="Y276" s="475"/>
      <c r="Z276" s="475"/>
      <c r="AA276" s="475"/>
      <c r="AB276" s="475"/>
    </row>
    <row r="277" spans="2:28" ht="15" customHeight="1" x14ac:dyDescent="0.2">
      <c r="B277" s="66" t="s">
        <v>7</v>
      </c>
      <c r="C277" s="67" t="s">
        <v>30</v>
      </c>
      <c r="D277" s="67" t="s">
        <v>24</v>
      </c>
      <c r="E277" s="67" t="s">
        <v>8</v>
      </c>
      <c r="F277" s="67"/>
      <c r="G277" s="67"/>
      <c r="H277" s="67"/>
      <c r="I277" s="67"/>
      <c r="J277" s="207"/>
      <c r="K277" s="66"/>
      <c r="L277" s="419" t="s">
        <v>133</v>
      </c>
      <c r="M277" s="146"/>
      <c r="N277" s="146"/>
      <c r="O277" s="169"/>
      <c r="P277" s="169"/>
      <c r="Q277" s="69">
        <v>121000000</v>
      </c>
      <c r="R277" s="67"/>
      <c r="S277" s="70"/>
      <c r="T277" s="542"/>
      <c r="U277" s="556"/>
      <c r="V277" s="557"/>
      <c r="W277" s="477"/>
      <c r="X277" s="477"/>
      <c r="Y277" s="477"/>
      <c r="Z277" s="477"/>
      <c r="AA277" s="477"/>
      <c r="AB277" s="477"/>
    </row>
    <row r="278" spans="2:28" ht="15" customHeight="1" x14ac:dyDescent="0.2">
      <c r="B278" s="66" t="s">
        <v>7</v>
      </c>
      <c r="C278" s="67" t="s">
        <v>30</v>
      </c>
      <c r="D278" s="67" t="s">
        <v>24</v>
      </c>
      <c r="E278" s="67" t="s">
        <v>24</v>
      </c>
      <c r="F278" s="67"/>
      <c r="G278" s="67"/>
      <c r="H278" s="67"/>
      <c r="I278" s="67"/>
      <c r="J278" s="207"/>
      <c r="K278" s="66"/>
      <c r="L278" s="419" t="s">
        <v>393</v>
      </c>
      <c r="M278" s="146"/>
      <c r="N278" s="146"/>
      <c r="O278" s="169"/>
      <c r="P278" s="169"/>
      <c r="Q278" s="69">
        <v>219000000</v>
      </c>
      <c r="R278" s="67"/>
      <c r="S278" s="70"/>
      <c r="T278" s="542"/>
      <c r="U278" s="556"/>
      <c r="V278" s="557"/>
      <c r="W278" s="477"/>
      <c r="X278" s="477"/>
      <c r="Y278" s="477"/>
      <c r="Z278" s="477"/>
      <c r="AA278" s="477"/>
      <c r="AB278" s="477"/>
    </row>
    <row r="279" spans="2:28" s="431" customFormat="1" ht="15.75" customHeight="1" x14ac:dyDescent="0.25">
      <c r="B279" s="81" t="s">
        <v>7</v>
      </c>
      <c r="C279" s="82" t="s">
        <v>30</v>
      </c>
      <c r="D279" s="513" t="s">
        <v>27</v>
      </c>
      <c r="E279" s="82"/>
      <c r="F279" s="82"/>
      <c r="G279" s="82"/>
      <c r="H279" s="82"/>
      <c r="I279" s="82"/>
      <c r="J279" s="206"/>
      <c r="K279" s="81"/>
      <c r="L279" s="418" t="s">
        <v>636</v>
      </c>
      <c r="M279" s="145"/>
      <c r="N279" s="145"/>
      <c r="O279" s="168"/>
      <c r="P279" s="168"/>
      <c r="Q279" s="84">
        <f>+Q280</f>
        <v>47000000</v>
      </c>
      <c r="R279" s="82"/>
      <c r="S279" s="85"/>
      <c r="T279" s="541"/>
      <c r="U279" s="560"/>
      <c r="V279" s="565"/>
      <c r="W279" s="475"/>
      <c r="X279" s="475"/>
      <c r="Y279" s="475"/>
      <c r="Z279" s="475"/>
      <c r="AA279" s="475"/>
      <c r="AB279" s="475"/>
    </row>
    <row r="280" spans="2:28" s="431" customFormat="1" ht="15" customHeight="1" x14ac:dyDescent="0.2">
      <c r="B280" s="66" t="s">
        <v>7</v>
      </c>
      <c r="C280" s="67" t="s">
        <v>30</v>
      </c>
      <c r="D280" s="514" t="s">
        <v>27</v>
      </c>
      <c r="E280" s="67"/>
      <c r="F280" s="67"/>
      <c r="G280" s="67"/>
      <c r="H280" s="67"/>
      <c r="I280" s="67"/>
      <c r="J280" s="207"/>
      <c r="K280" s="66"/>
      <c r="L280" s="419" t="s">
        <v>636</v>
      </c>
      <c r="M280" s="146"/>
      <c r="N280" s="146"/>
      <c r="O280" s="169"/>
      <c r="P280" s="169"/>
      <c r="Q280" s="69">
        <v>47000000</v>
      </c>
      <c r="R280" s="67"/>
      <c r="S280" s="70"/>
      <c r="T280" s="542"/>
      <c r="U280" s="556"/>
      <c r="V280" s="557"/>
      <c r="W280" s="477"/>
      <c r="X280" s="477"/>
      <c r="Y280" s="477"/>
      <c r="Z280" s="477"/>
      <c r="AA280" s="477"/>
      <c r="AB280" s="477"/>
    </row>
    <row r="281" spans="2:28" ht="15.75" customHeight="1" x14ac:dyDescent="0.25">
      <c r="B281" s="86" t="s">
        <v>149</v>
      </c>
      <c r="C281" s="87"/>
      <c r="D281" s="87"/>
      <c r="E281" s="87"/>
      <c r="F281" s="87"/>
      <c r="G281" s="87"/>
      <c r="H281" s="87"/>
      <c r="I281" s="87"/>
      <c r="J281" s="208"/>
      <c r="K281" s="86"/>
      <c r="L281" s="420" t="s">
        <v>152</v>
      </c>
      <c r="M281" s="147"/>
      <c r="N281" s="147"/>
      <c r="O281" s="170"/>
      <c r="P281" s="170"/>
      <c r="Q281" s="89">
        <f>+Q282</f>
        <v>16777000000</v>
      </c>
      <c r="R281" s="87"/>
      <c r="S281" s="90"/>
      <c r="T281" s="543"/>
      <c r="U281" s="560"/>
      <c r="V281" s="565"/>
      <c r="W281" s="475"/>
      <c r="X281" s="475"/>
      <c r="Y281" s="475"/>
      <c r="Z281" s="475"/>
      <c r="AA281" s="475"/>
      <c r="AB281" s="475"/>
    </row>
    <row r="282" spans="2:28" ht="15" customHeight="1" x14ac:dyDescent="0.25">
      <c r="B282" s="56" t="s">
        <v>149</v>
      </c>
      <c r="C282" s="57"/>
      <c r="D282" s="57" t="s">
        <v>150</v>
      </c>
      <c r="E282" s="57"/>
      <c r="F282" s="57"/>
      <c r="G282" s="57"/>
      <c r="H282" s="57"/>
      <c r="I282" s="57"/>
      <c r="J282" s="209"/>
      <c r="K282" s="56"/>
      <c r="L282" s="421" t="s">
        <v>153</v>
      </c>
      <c r="M282" s="148"/>
      <c r="N282" s="148"/>
      <c r="O282" s="171"/>
      <c r="P282" s="171"/>
      <c r="Q282" s="463">
        <f>+Q283</f>
        <v>16777000000</v>
      </c>
      <c r="R282" s="464"/>
      <c r="S282" s="465"/>
      <c r="T282" s="544"/>
      <c r="U282" s="560"/>
      <c r="V282" s="565"/>
      <c r="W282" s="475"/>
      <c r="X282" s="475"/>
      <c r="Y282" s="475"/>
      <c r="Z282" s="475"/>
      <c r="AA282" s="475"/>
      <c r="AB282" s="475"/>
    </row>
    <row r="283" spans="2:28" ht="15" customHeight="1" x14ac:dyDescent="0.25">
      <c r="B283" s="36" t="s">
        <v>149</v>
      </c>
      <c r="C283" s="37"/>
      <c r="D283" s="37" t="s">
        <v>150</v>
      </c>
      <c r="E283" s="37"/>
      <c r="F283" s="37" t="s">
        <v>151</v>
      </c>
      <c r="G283" s="37"/>
      <c r="H283" s="37"/>
      <c r="I283" s="37"/>
      <c r="J283" s="210"/>
      <c r="K283" s="36"/>
      <c r="L283" s="422" t="s">
        <v>154</v>
      </c>
      <c r="M283" s="149"/>
      <c r="N283" s="149"/>
      <c r="O283" s="172"/>
      <c r="P283" s="172"/>
      <c r="Q283" s="466">
        <f>+Q284+Q302</f>
        <v>16777000000</v>
      </c>
      <c r="R283" s="467"/>
      <c r="S283" s="468"/>
      <c r="T283" s="545"/>
      <c r="U283" s="560"/>
      <c r="V283" s="565"/>
      <c r="W283" s="475"/>
      <c r="X283" s="475"/>
      <c r="Y283" s="475"/>
      <c r="Z283" s="475"/>
      <c r="AA283" s="475"/>
      <c r="AB283" s="475"/>
    </row>
    <row r="284" spans="2:28" ht="15.75" customHeight="1" thickBot="1" x14ac:dyDescent="0.3">
      <c r="B284" s="13" t="s">
        <v>149</v>
      </c>
      <c r="C284" s="14"/>
      <c r="D284" s="14" t="s">
        <v>150</v>
      </c>
      <c r="E284" s="14"/>
      <c r="F284" s="14" t="s">
        <v>151</v>
      </c>
      <c r="G284" s="14"/>
      <c r="H284" s="14">
        <v>2</v>
      </c>
      <c r="I284" s="14"/>
      <c r="J284" s="195"/>
      <c r="K284" s="13"/>
      <c r="L284" s="409" t="s">
        <v>159</v>
      </c>
      <c r="M284" s="131"/>
      <c r="N284" s="131"/>
      <c r="O284" s="154"/>
      <c r="P284" s="154"/>
      <c r="Q284" s="469">
        <f>+Q285</f>
        <v>8142000000</v>
      </c>
      <c r="R284" s="470"/>
      <c r="S284" s="471"/>
      <c r="T284" s="546"/>
      <c r="U284" s="560"/>
      <c r="V284" s="565"/>
      <c r="W284" s="475"/>
      <c r="X284" s="475"/>
      <c r="Y284" s="475"/>
      <c r="Z284" s="475"/>
      <c r="AA284" s="475"/>
      <c r="AB284" s="475"/>
    </row>
    <row r="285" spans="2:28" ht="15.75" customHeight="1" x14ac:dyDescent="0.25">
      <c r="B285" s="19" t="s">
        <v>7</v>
      </c>
      <c r="C285" s="20" t="s">
        <v>20</v>
      </c>
      <c r="D285" s="20"/>
      <c r="E285" s="20"/>
      <c r="F285" s="20"/>
      <c r="G285" s="20"/>
      <c r="H285" s="20"/>
      <c r="I285" s="20"/>
      <c r="J285" s="192"/>
      <c r="K285" s="219"/>
      <c r="L285" s="406" t="s">
        <v>412</v>
      </c>
      <c r="M285" s="275"/>
      <c r="N285" s="275"/>
      <c r="O285" s="276"/>
      <c r="P285" s="276"/>
      <c r="Q285" s="472">
        <f>SUM(Q286:Q301)</f>
        <v>8142000000</v>
      </c>
      <c r="R285" s="473">
        <v>8142000000</v>
      </c>
      <c r="S285" s="552">
        <f>+Q285-R285</f>
        <v>0</v>
      </c>
      <c r="T285" s="547"/>
      <c r="U285" s="560"/>
      <c r="V285" s="565"/>
      <c r="W285" s="572"/>
      <c r="X285" s="573"/>
      <c r="Y285" s="475"/>
      <c r="Z285" s="475"/>
      <c r="AA285" s="475"/>
      <c r="AB285" s="475"/>
    </row>
    <row r="286" spans="2:28" ht="45" x14ac:dyDescent="0.2">
      <c r="B286" s="625"/>
      <c r="C286" s="626"/>
      <c r="D286" s="626"/>
      <c r="E286" s="626"/>
      <c r="F286" s="626"/>
      <c r="G286" s="626"/>
      <c r="H286" s="626"/>
      <c r="I286" s="626"/>
      <c r="J286" s="626"/>
      <c r="K286" s="440" t="s">
        <v>343</v>
      </c>
      <c r="L286" s="441" t="s">
        <v>756</v>
      </c>
      <c r="M286" s="134">
        <v>44593</v>
      </c>
      <c r="N286" s="134" t="s">
        <v>593</v>
      </c>
      <c r="O286" s="157" t="s">
        <v>362</v>
      </c>
      <c r="P286" s="157" t="s">
        <v>488</v>
      </c>
      <c r="Q286" s="101">
        <f>3139920499.21+5000000</f>
        <v>3144920499.21</v>
      </c>
      <c r="R286" s="443" t="s">
        <v>350</v>
      </c>
      <c r="S286" s="101"/>
      <c r="T286" s="441" t="s">
        <v>359</v>
      </c>
      <c r="U286" s="556"/>
      <c r="V286" s="557"/>
      <c r="W286" s="477"/>
      <c r="X286" s="477"/>
      <c r="Y286" s="477"/>
      <c r="Z286" s="477"/>
      <c r="AA286" s="477"/>
      <c r="AB286" s="477"/>
    </row>
    <row r="287" spans="2:28" ht="30" x14ac:dyDescent="0.2">
      <c r="B287" s="625"/>
      <c r="C287" s="626"/>
      <c r="D287" s="626"/>
      <c r="E287" s="626"/>
      <c r="F287" s="626"/>
      <c r="G287" s="626"/>
      <c r="H287" s="626"/>
      <c r="I287" s="626"/>
      <c r="J287" s="626"/>
      <c r="K287" s="440">
        <v>81101500</v>
      </c>
      <c r="L287" s="441" t="s">
        <v>757</v>
      </c>
      <c r="M287" s="134">
        <v>44593</v>
      </c>
      <c r="N287" s="134" t="s">
        <v>593</v>
      </c>
      <c r="O287" s="157" t="s">
        <v>362</v>
      </c>
      <c r="P287" s="157" t="s">
        <v>663</v>
      </c>
      <c r="Q287" s="101">
        <f>313992042.92-5000000</f>
        <v>308992042.92000002</v>
      </c>
      <c r="R287" s="443" t="s">
        <v>350</v>
      </c>
      <c r="S287" s="101"/>
      <c r="T287" s="441" t="s">
        <v>359</v>
      </c>
      <c r="U287" s="556"/>
      <c r="V287" s="557"/>
      <c r="W287" s="477"/>
      <c r="X287" s="477"/>
      <c r="Y287" s="477"/>
      <c r="Z287" s="477">
        <f t="shared" ref="Z287:Z301" si="204">+Q287-X287</f>
        <v>308992042.92000002</v>
      </c>
      <c r="AA287" s="477">
        <f t="shared" ref="AA287:AA301" si="205">+X287-Y287</f>
        <v>0</v>
      </c>
      <c r="AB287" s="477">
        <f t="shared" ref="AB287:AB301" si="206">+Q287+AA287-Y287</f>
        <v>308992042.92000002</v>
      </c>
    </row>
    <row r="288" spans="2:28" ht="75" x14ac:dyDescent="0.2">
      <c r="B288" s="625"/>
      <c r="C288" s="626"/>
      <c r="D288" s="626"/>
      <c r="E288" s="626"/>
      <c r="F288" s="626"/>
      <c r="G288" s="626"/>
      <c r="H288" s="626"/>
      <c r="I288" s="626"/>
      <c r="J288" s="626"/>
      <c r="K288" s="440" t="s">
        <v>343</v>
      </c>
      <c r="L288" s="441" t="s">
        <v>476</v>
      </c>
      <c r="M288" s="134">
        <v>44459</v>
      </c>
      <c r="N288" s="134" t="s">
        <v>617</v>
      </c>
      <c r="O288" s="157" t="s">
        <v>362</v>
      </c>
      <c r="P288" s="157" t="s">
        <v>664</v>
      </c>
      <c r="Q288" s="101">
        <v>805936900</v>
      </c>
      <c r="R288" s="443" t="s">
        <v>350</v>
      </c>
      <c r="S288" s="101"/>
      <c r="T288" s="441" t="s">
        <v>359</v>
      </c>
      <c r="U288" s="556">
        <v>2022</v>
      </c>
      <c r="V288" s="557">
        <v>44572</v>
      </c>
      <c r="W288" s="477">
        <v>805936900</v>
      </c>
      <c r="X288" s="477">
        <v>805936900</v>
      </c>
      <c r="Y288" s="477"/>
      <c r="Z288" s="477">
        <f t="shared" si="204"/>
        <v>0</v>
      </c>
      <c r="AA288" s="477">
        <f t="shared" si="205"/>
        <v>805936900</v>
      </c>
      <c r="AB288" s="477">
        <f t="shared" si="206"/>
        <v>1611873800</v>
      </c>
    </row>
    <row r="289" spans="2:28" s="431" customFormat="1" ht="75" x14ac:dyDescent="0.2">
      <c r="B289" s="625"/>
      <c r="C289" s="626"/>
      <c r="D289" s="626"/>
      <c r="E289" s="626"/>
      <c r="F289" s="626"/>
      <c r="G289" s="626"/>
      <c r="H289" s="626"/>
      <c r="I289" s="626"/>
      <c r="J289" s="626"/>
      <c r="K289" s="440">
        <v>81101500</v>
      </c>
      <c r="L289" s="441" t="s">
        <v>358</v>
      </c>
      <c r="M289" s="134">
        <v>44459</v>
      </c>
      <c r="N289" s="134" t="s">
        <v>617</v>
      </c>
      <c r="O289" s="157" t="s">
        <v>362</v>
      </c>
      <c r="P289" s="157" t="s">
        <v>665</v>
      </c>
      <c r="Q289" s="101">
        <v>198893736</v>
      </c>
      <c r="R289" s="443" t="s">
        <v>350</v>
      </c>
      <c r="S289" s="101"/>
      <c r="T289" s="441" t="s">
        <v>359</v>
      </c>
      <c r="U289" s="556">
        <v>2222</v>
      </c>
      <c r="V289" s="557">
        <v>44572</v>
      </c>
      <c r="W289" s="477">
        <v>198893736</v>
      </c>
      <c r="X289" s="477">
        <v>198893736</v>
      </c>
      <c r="Y289" s="477"/>
      <c r="Z289" s="477">
        <f t="shared" si="204"/>
        <v>0</v>
      </c>
      <c r="AA289" s="477">
        <f t="shared" si="205"/>
        <v>198893736</v>
      </c>
      <c r="AB289" s="477">
        <f t="shared" si="206"/>
        <v>397787472</v>
      </c>
    </row>
    <row r="290" spans="2:28" s="431" customFormat="1" ht="75" x14ac:dyDescent="0.2">
      <c r="B290" s="625"/>
      <c r="C290" s="626"/>
      <c r="D290" s="626"/>
      <c r="E290" s="626"/>
      <c r="F290" s="626"/>
      <c r="G290" s="626"/>
      <c r="H290" s="626"/>
      <c r="I290" s="626"/>
      <c r="J290" s="626"/>
      <c r="K290" s="440" t="s">
        <v>343</v>
      </c>
      <c r="L290" s="441" t="s">
        <v>477</v>
      </c>
      <c r="M290" s="134">
        <v>44459</v>
      </c>
      <c r="N290" s="134" t="s">
        <v>617</v>
      </c>
      <c r="O290" s="157" t="s">
        <v>362</v>
      </c>
      <c r="P290" s="157" t="s">
        <v>664</v>
      </c>
      <c r="Q290" s="101">
        <v>1659778723.6600001</v>
      </c>
      <c r="R290" s="443" t="s">
        <v>350</v>
      </c>
      <c r="S290" s="101"/>
      <c r="T290" s="441" t="s">
        <v>359</v>
      </c>
      <c r="U290" s="556">
        <v>2322</v>
      </c>
      <c r="V290" s="557">
        <v>44572</v>
      </c>
      <c r="W290" s="477">
        <v>1659778723.6600001</v>
      </c>
      <c r="X290" s="477">
        <v>1659778723.6600001</v>
      </c>
      <c r="Y290" s="477"/>
      <c r="Z290" s="477">
        <f t="shared" si="204"/>
        <v>0</v>
      </c>
      <c r="AA290" s="477">
        <f t="shared" si="205"/>
        <v>1659778723.6600001</v>
      </c>
      <c r="AB290" s="477">
        <f t="shared" si="206"/>
        <v>3319557447.3200002</v>
      </c>
    </row>
    <row r="291" spans="2:28" s="431" customFormat="1" ht="75" x14ac:dyDescent="0.2">
      <c r="B291" s="625"/>
      <c r="C291" s="626"/>
      <c r="D291" s="626"/>
      <c r="E291" s="626"/>
      <c r="F291" s="626"/>
      <c r="G291" s="626"/>
      <c r="H291" s="626"/>
      <c r="I291" s="626"/>
      <c r="J291" s="626"/>
      <c r="K291" s="440">
        <v>81101500</v>
      </c>
      <c r="L291" s="441" t="s">
        <v>478</v>
      </c>
      <c r="M291" s="134">
        <v>44459</v>
      </c>
      <c r="N291" s="134" t="s">
        <v>617</v>
      </c>
      <c r="O291" s="157" t="s">
        <v>362</v>
      </c>
      <c r="P291" s="157" t="s">
        <v>666</v>
      </c>
      <c r="Q291" s="101">
        <v>268000000</v>
      </c>
      <c r="R291" s="443" t="s">
        <v>350</v>
      </c>
      <c r="S291" s="101"/>
      <c r="T291" s="441" t="s">
        <v>359</v>
      </c>
      <c r="U291" s="556">
        <v>2822</v>
      </c>
      <c r="V291" s="557">
        <v>44572</v>
      </c>
      <c r="W291" s="477">
        <v>244113905</v>
      </c>
      <c r="X291" s="477">
        <v>244113905</v>
      </c>
      <c r="Y291" s="477"/>
      <c r="Z291" s="477">
        <f t="shared" si="204"/>
        <v>23886095</v>
      </c>
      <c r="AA291" s="477">
        <f t="shared" si="205"/>
        <v>244113905</v>
      </c>
      <c r="AB291" s="477">
        <f t="shared" si="206"/>
        <v>512113905</v>
      </c>
    </row>
    <row r="292" spans="2:28" s="431" customFormat="1" ht="75" x14ac:dyDescent="0.2">
      <c r="B292" s="625"/>
      <c r="C292" s="626"/>
      <c r="D292" s="626"/>
      <c r="E292" s="626"/>
      <c r="F292" s="626"/>
      <c r="G292" s="626"/>
      <c r="H292" s="626"/>
      <c r="I292" s="626"/>
      <c r="J292" s="626"/>
      <c r="K292" s="440" t="s">
        <v>343</v>
      </c>
      <c r="L292" s="441" t="s">
        <v>479</v>
      </c>
      <c r="M292" s="134">
        <v>44409</v>
      </c>
      <c r="N292" s="134" t="s">
        <v>617</v>
      </c>
      <c r="O292" s="157" t="s">
        <v>362</v>
      </c>
      <c r="P292" s="157" t="s">
        <v>664</v>
      </c>
      <c r="Q292" s="101">
        <v>709399416.34000003</v>
      </c>
      <c r="R292" s="443" t="s">
        <v>350</v>
      </c>
      <c r="S292" s="101"/>
      <c r="T292" s="441" t="s">
        <v>359</v>
      </c>
      <c r="U292" s="556">
        <v>1822</v>
      </c>
      <c r="V292" s="557">
        <v>44572</v>
      </c>
      <c r="W292" s="477">
        <v>709399416.34000003</v>
      </c>
      <c r="X292" s="477">
        <v>709399416.34000003</v>
      </c>
      <c r="Y292" s="477"/>
      <c r="Z292" s="477">
        <f t="shared" si="204"/>
        <v>0</v>
      </c>
      <c r="AA292" s="477">
        <f t="shared" si="205"/>
        <v>709399416.34000003</v>
      </c>
      <c r="AB292" s="477">
        <f t="shared" si="206"/>
        <v>1418798832.6800001</v>
      </c>
    </row>
    <row r="293" spans="2:28" s="431" customFormat="1" ht="75" x14ac:dyDescent="0.2">
      <c r="B293" s="625"/>
      <c r="C293" s="626"/>
      <c r="D293" s="626"/>
      <c r="E293" s="626"/>
      <c r="F293" s="626"/>
      <c r="G293" s="626"/>
      <c r="H293" s="626"/>
      <c r="I293" s="626"/>
      <c r="J293" s="626"/>
      <c r="K293" s="440">
        <v>81101500</v>
      </c>
      <c r="L293" s="441" t="s">
        <v>480</v>
      </c>
      <c r="M293" s="134">
        <v>44409</v>
      </c>
      <c r="N293" s="134" t="s">
        <v>617</v>
      </c>
      <c r="O293" s="157" t="s">
        <v>362</v>
      </c>
      <c r="P293" s="157" t="s">
        <v>665</v>
      </c>
      <c r="Q293" s="101">
        <f>149170302</f>
        <v>149170302</v>
      </c>
      <c r="R293" s="443" t="s">
        <v>350</v>
      </c>
      <c r="S293" s="101"/>
      <c r="T293" s="441" t="s">
        <v>359</v>
      </c>
      <c r="U293" s="556">
        <v>1722</v>
      </c>
      <c r="V293" s="557">
        <v>44572</v>
      </c>
      <c r="W293" s="477">
        <v>149170302</v>
      </c>
      <c r="X293" s="477">
        <v>149170302</v>
      </c>
      <c r="Y293" s="477"/>
      <c r="Z293" s="477">
        <f t="shared" si="204"/>
        <v>0</v>
      </c>
      <c r="AA293" s="477">
        <f t="shared" si="205"/>
        <v>149170302</v>
      </c>
      <c r="AB293" s="477">
        <f t="shared" si="206"/>
        <v>298340604</v>
      </c>
    </row>
    <row r="294" spans="2:28" s="431" customFormat="1" ht="75" x14ac:dyDescent="0.2">
      <c r="B294" s="625"/>
      <c r="C294" s="626"/>
      <c r="D294" s="626"/>
      <c r="E294" s="626"/>
      <c r="F294" s="626"/>
      <c r="G294" s="626"/>
      <c r="H294" s="626"/>
      <c r="I294" s="626"/>
      <c r="J294" s="626"/>
      <c r="K294" s="440" t="s">
        <v>343</v>
      </c>
      <c r="L294" s="441" t="s">
        <v>481</v>
      </c>
      <c r="M294" s="134">
        <v>44409</v>
      </c>
      <c r="N294" s="134" t="s">
        <v>617</v>
      </c>
      <c r="O294" s="157" t="s">
        <v>311</v>
      </c>
      <c r="P294" s="157" t="s">
        <v>664</v>
      </c>
      <c r="Q294" s="101">
        <f>106374054</f>
        <v>106374054</v>
      </c>
      <c r="R294" s="443" t="s">
        <v>350</v>
      </c>
      <c r="S294" s="101"/>
      <c r="T294" s="441" t="s">
        <v>359</v>
      </c>
      <c r="U294" s="556">
        <v>1922</v>
      </c>
      <c r="V294" s="557">
        <v>44572</v>
      </c>
      <c r="W294" s="477">
        <v>106374054</v>
      </c>
      <c r="X294" s="477">
        <v>106374054</v>
      </c>
      <c r="Y294" s="477"/>
      <c r="Z294" s="477">
        <f t="shared" si="204"/>
        <v>0</v>
      </c>
      <c r="AA294" s="477">
        <f t="shared" si="205"/>
        <v>106374054</v>
      </c>
      <c r="AB294" s="477">
        <f t="shared" si="206"/>
        <v>212748108</v>
      </c>
    </row>
    <row r="295" spans="2:28" s="431" customFormat="1" ht="75" x14ac:dyDescent="0.2">
      <c r="B295" s="625"/>
      <c r="C295" s="626"/>
      <c r="D295" s="626"/>
      <c r="E295" s="626"/>
      <c r="F295" s="626"/>
      <c r="G295" s="626"/>
      <c r="H295" s="626"/>
      <c r="I295" s="626"/>
      <c r="J295" s="626"/>
      <c r="K295" s="440">
        <v>81101500</v>
      </c>
      <c r="L295" s="441" t="s">
        <v>482</v>
      </c>
      <c r="M295" s="134">
        <v>44409</v>
      </c>
      <c r="N295" s="134" t="s">
        <v>617</v>
      </c>
      <c r="O295" s="157" t="s">
        <v>311</v>
      </c>
      <c r="P295" s="157" t="s">
        <v>665</v>
      </c>
      <c r="Q295" s="101">
        <f>99446868+37292275.5</f>
        <v>136739143.5</v>
      </c>
      <c r="R295" s="443" t="s">
        <v>350</v>
      </c>
      <c r="S295" s="101"/>
      <c r="T295" s="441" t="s">
        <v>359</v>
      </c>
      <c r="U295" s="556">
        <v>2122</v>
      </c>
      <c r="V295" s="557">
        <v>44572</v>
      </c>
      <c r="W295" s="477">
        <v>99446868</v>
      </c>
      <c r="X295" s="477">
        <v>99446868</v>
      </c>
      <c r="Y295" s="477"/>
      <c r="Z295" s="477">
        <f t="shared" si="204"/>
        <v>37292275.5</v>
      </c>
      <c r="AA295" s="477">
        <f t="shared" si="205"/>
        <v>99446868</v>
      </c>
      <c r="AB295" s="477">
        <f t="shared" si="206"/>
        <v>236186011.5</v>
      </c>
    </row>
    <row r="296" spans="2:28" s="431" customFormat="1" ht="30" x14ac:dyDescent="0.2">
      <c r="B296" s="625"/>
      <c r="C296" s="626"/>
      <c r="D296" s="626"/>
      <c r="E296" s="626"/>
      <c r="F296" s="626"/>
      <c r="G296" s="626"/>
      <c r="H296" s="626"/>
      <c r="I296" s="626"/>
      <c r="J296" s="626"/>
      <c r="K296" s="440">
        <v>81101500</v>
      </c>
      <c r="L296" s="441" t="s">
        <v>618</v>
      </c>
      <c r="M296" s="134">
        <v>44701</v>
      </c>
      <c r="N296" s="134" t="s">
        <v>669</v>
      </c>
      <c r="O296" s="157" t="s">
        <v>311</v>
      </c>
      <c r="P296" s="157" t="s">
        <v>667</v>
      </c>
      <c r="Q296" s="101">
        <f>463700000-37292275.5</f>
        <v>426407724.5</v>
      </c>
      <c r="R296" s="443" t="s">
        <v>350</v>
      </c>
      <c r="S296" s="101"/>
      <c r="T296" s="441" t="s">
        <v>359</v>
      </c>
      <c r="U296" s="556"/>
      <c r="V296" s="557"/>
      <c r="W296" s="477"/>
      <c r="X296" s="477"/>
      <c r="Y296" s="477"/>
      <c r="Z296" s="477">
        <f t="shared" si="204"/>
        <v>426407724.5</v>
      </c>
      <c r="AA296" s="477">
        <f t="shared" si="205"/>
        <v>0</v>
      </c>
      <c r="AB296" s="477">
        <f t="shared" si="206"/>
        <v>426407724.5</v>
      </c>
    </row>
    <row r="297" spans="2:28" s="431" customFormat="1" ht="30" x14ac:dyDescent="0.2">
      <c r="B297" s="625"/>
      <c r="C297" s="626"/>
      <c r="D297" s="626"/>
      <c r="E297" s="626"/>
      <c r="F297" s="626"/>
      <c r="G297" s="626"/>
      <c r="H297" s="626"/>
      <c r="I297" s="626"/>
      <c r="J297" s="626"/>
      <c r="K297" s="440">
        <v>81101500</v>
      </c>
      <c r="L297" s="405" t="s">
        <v>638</v>
      </c>
      <c r="M297" s="134">
        <v>44575</v>
      </c>
      <c r="N297" s="134" t="s">
        <v>619</v>
      </c>
      <c r="O297" s="157" t="s">
        <v>324</v>
      </c>
      <c r="P297" s="157" t="s">
        <v>668</v>
      </c>
      <c r="Q297" s="493">
        <v>92387457.870000005</v>
      </c>
      <c r="R297" s="443" t="s">
        <v>350</v>
      </c>
      <c r="S297" s="101"/>
      <c r="T297" s="441" t="s">
        <v>359</v>
      </c>
      <c r="U297" s="556">
        <v>3022</v>
      </c>
      <c r="V297" s="557">
        <v>44573</v>
      </c>
      <c r="W297" s="477">
        <v>27600000</v>
      </c>
      <c r="X297" s="477">
        <v>27600000</v>
      </c>
      <c r="Y297" s="477"/>
      <c r="Z297" s="477">
        <f t="shared" si="204"/>
        <v>64787457.870000005</v>
      </c>
      <c r="AA297" s="477">
        <f t="shared" si="205"/>
        <v>27600000</v>
      </c>
      <c r="AB297" s="477">
        <f t="shared" si="206"/>
        <v>119987457.87</v>
      </c>
    </row>
    <row r="298" spans="2:28" ht="30" x14ac:dyDescent="0.2">
      <c r="B298" s="625"/>
      <c r="C298" s="626"/>
      <c r="D298" s="626"/>
      <c r="E298" s="626"/>
      <c r="F298" s="626"/>
      <c r="G298" s="626"/>
      <c r="H298" s="626"/>
      <c r="I298" s="626"/>
      <c r="J298" s="626"/>
      <c r="K298" s="440">
        <v>81101500</v>
      </c>
      <c r="L298" s="441" t="s">
        <v>623</v>
      </c>
      <c r="M298" s="134">
        <v>44593</v>
      </c>
      <c r="N298" s="134" t="s">
        <v>593</v>
      </c>
      <c r="O298" s="157" t="s">
        <v>332</v>
      </c>
      <c r="P298" s="157" t="s">
        <v>663</v>
      </c>
      <c r="Q298" s="101">
        <v>100000000</v>
      </c>
      <c r="R298" s="443" t="s">
        <v>350</v>
      </c>
      <c r="S298" s="101"/>
      <c r="T298" s="441" t="s">
        <v>359</v>
      </c>
      <c r="U298" s="556"/>
      <c r="V298" s="557"/>
      <c r="W298" s="477"/>
      <c r="X298" s="477"/>
      <c r="Y298" s="477"/>
      <c r="Z298" s="477">
        <f t="shared" si="204"/>
        <v>100000000</v>
      </c>
      <c r="AA298" s="477">
        <f t="shared" si="205"/>
        <v>0</v>
      </c>
      <c r="AB298" s="477">
        <f t="shared" si="206"/>
        <v>100000000</v>
      </c>
    </row>
    <row r="299" spans="2:28" ht="30" x14ac:dyDescent="0.2">
      <c r="B299" s="625"/>
      <c r="C299" s="626"/>
      <c r="D299" s="626"/>
      <c r="E299" s="626"/>
      <c r="F299" s="626"/>
      <c r="G299" s="626"/>
      <c r="H299" s="626"/>
      <c r="I299" s="626"/>
      <c r="J299" s="626"/>
      <c r="K299" s="440">
        <v>90121600</v>
      </c>
      <c r="L299" s="576" t="s">
        <v>483</v>
      </c>
      <c r="M299" s="134">
        <v>44582</v>
      </c>
      <c r="N299" s="134" t="s">
        <v>484</v>
      </c>
      <c r="O299" s="157" t="s">
        <v>324</v>
      </c>
      <c r="P299" s="157" t="s">
        <v>681</v>
      </c>
      <c r="Q299" s="101">
        <v>15000000</v>
      </c>
      <c r="R299" s="443" t="s">
        <v>350</v>
      </c>
      <c r="S299" s="101"/>
      <c r="T299" s="441" t="s">
        <v>359</v>
      </c>
      <c r="U299" s="556">
        <v>3522</v>
      </c>
      <c r="V299" s="557">
        <v>44573</v>
      </c>
      <c r="W299" s="477">
        <v>15000000</v>
      </c>
      <c r="X299" s="477">
        <v>15000000</v>
      </c>
      <c r="Y299" s="477"/>
      <c r="Z299" s="477">
        <f t="shared" si="204"/>
        <v>0</v>
      </c>
      <c r="AA299" s="477">
        <f t="shared" si="205"/>
        <v>15000000</v>
      </c>
      <c r="AB299" s="477">
        <f t="shared" si="206"/>
        <v>30000000</v>
      </c>
    </row>
    <row r="300" spans="2:28" ht="30" x14ac:dyDescent="0.2">
      <c r="B300" s="625"/>
      <c r="C300" s="626"/>
      <c r="D300" s="626"/>
      <c r="E300" s="626"/>
      <c r="F300" s="626"/>
      <c r="G300" s="626"/>
      <c r="H300" s="626"/>
      <c r="I300" s="626"/>
      <c r="J300" s="626"/>
      <c r="K300" s="440">
        <v>90111500</v>
      </c>
      <c r="L300" s="441" t="s">
        <v>352</v>
      </c>
      <c r="M300" s="134">
        <v>44582</v>
      </c>
      <c r="N300" s="134" t="s">
        <v>484</v>
      </c>
      <c r="O300" s="157" t="s">
        <v>324</v>
      </c>
      <c r="P300" s="157" t="s">
        <v>375</v>
      </c>
      <c r="Q300" s="101">
        <v>10000000</v>
      </c>
      <c r="R300" s="443" t="s">
        <v>350</v>
      </c>
      <c r="S300" s="101"/>
      <c r="T300" s="441" t="s">
        <v>485</v>
      </c>
      <c r="U300" s="556"/>
      <c r="V300" s="557"/>
      <c r="W300" s="477"/>
      <c r="X300" s="477"/>
      <c r="Y300" s="477"/>
      <c r="Z300" s="477">
        <f t="shared" si="204"/>
        <v>10000000</v>
      </c>
      <c r="AA300" s="477">
        <f t="shared" si="205"/>
        <v>0</v>
      </c>
      <c r="AB300" s="477">
        <f t="shared" si="206"/>
        <v>10000000</v>
      </c>
    </row>
    <row r="301" spans="2:28" ht="30" x14ac:dyDescent="0.2">
      <c r="B301" s="625"/>
      <c r="C301" s="626"/>
      <c r="D301" s="626"/>
      <c r="E301" s="626"/>
      <c r="F301" s="626"/>
      <c r="G301" s="626"/>
      <c r="H301" s="626"/>
      <c r="I301" s="626"/>
      <c r="J301" s="626"/>
      <c r="K301" s="438">
        <v>90111500</v>
      </c>
      <c r="L301" s="441" t="s">
        <v>353</v>
      </c>
      <c r="M301" s="134">
        <v>44582</v>
      </c>
      <c r="N301" s="134" t="s">
        <v>484</v>
      </c>
      <c r="O301" s="157" t="s">
        <v>301</v>
      </c>
      <c r="P301" s="157" t="s">
        <v>375</v>
      </c>
      <c r="Q301" s="101">
        <v>10000000</v>
      </c>
      <c r="R301" s="443" t="s">
        <v>350</v>
      </c>
      <c r="S301" s="101"/>
      <c r="T301" s="441" t="s">
        <v>359</v>
      </c>
      <c r="U301" s="556"/>
      <c r="V301" s="557"/>
      <c r="W301" s="477"/>
      <c r="X301" s="477"/>
      <c r="Y301" s="477"/>
      <c r="Z301" s="477">
        <f t="shared" si="204"/>
        <v>10000000</v>
      </c>
      <c r="AA301" s="477">
        <f t="shared" si="205"/>
        <v>0</v>
      </c>
      <c r="AB301" s="477">
        <f t="shared" si="206"/>
        <v>10000000</v>
      </c>
    </row>
    <row r="302" spans="2:28" ht="30.75" customHeight="1" thickBot="1" x14ac:dyDescent="0.25">
      <c r="B302" s="103" t="s">
        <v>149</v>
      </c>
      <c r="C302" s="104"/>
      <c r="D302" s="104" t="s">
        <v>150</v>
      </c>
      <c r="E302" s="104"/>
      <c r="F302" s="104" t="s">
        <v>151</v>
      </c>
      <c r="G302" s="104"/>
      <c r="H302" s="104" t="s">
        <v>32</v>
      </c>
      <c r="I302" s="104"/>
      <c r="J302" s="211"/>
      <c r="K302" s="13"/>
      <c r="L302" s="409" t="s">
        <v>170</v>
      </c>
      <c r="M302" s="131"/>
      <c r="N302" s="131"/>
      <c r="O302" s="154"/>
      <c r="P302" s="154"/>
      <c r="Q302" s="16">
        <f>+Q303</f>
        <v>8635000000</v>
      </c>
      <c r="R302" s="218"/>
      <c r="S302" s="17"/>
      <c r="T302" s="527"/>
      <c r="U302" s="560"/>
      <c r="V302" s="565"/>
      <c r="W302" s="475"/>
      <c r="X302" s="475"/>
      <c r="Y302" s="475"/>
      <c r="Z302" s="475"/>
      <c r="AA302" s="475"/>
      <c r="AB302" s="475"/>
    </row>
    <row r="303" spans="2:28" ht="15.75" customHeight="1" x14ac:dyDescent="0.2">
      <c r="B303" s="19" t="s">
        <v>7</v>
      </c>
      <c r="C303" s="20" t="s">
        <v>20</v>
      </c>
      <c r="D303" s="20"/>
      <c r="E303" s="20"/>
      <c r="F303" s="20"/>
      <c r="G303" s="20"/>
      <c r="H303" s="20"/>
      <c r="I303" s="20"/>
      <c r="J303" s="192"/>
      <c r="K303" s="219"/>
      <c r="L303" s="406" t="s">
        <v>412</v>
      </c>
      <c r="M303" s="275"/>
      <c r="N303" s="275"/>
      <c r="O303" s="276"/>
      <c r="P303" s="276"/>
      <c r="Q303" s="282">
        <f>SUM(Q304:Q318)</f>
        <v>8635000000</v>
      </c>
      <c r="R303" s="281">
        <v>8635000000</v>
      </c>
      <c r="S303" s="279"/>
      <c r="T303" s="548"/>
      <c r="U303" s="560"/>
      <c r="V303" s="565"/>
      <c r="W303" s="475"/>
      <c r="X303" s="475"/>
      <c r="Y303" s="475"/>
      <c r="Z303" s="475"/>
      <c r="AA303" s="475"/>
      <c r="AB303" s="475"/>
    </row>
    <row r="304" spans="2:28" ht="45" x14ac:dyDescent="0.2">
      <c r="B304" s="624"/>
      <c r="C304" s="624"/>
      <c r="D304" s="624"/>
      <c r="E304" s="624"/>
      <c r="F304" s="624"/>
      <c r="G304" s="624"/>
      <c r="H304" s="624"/>
      <c r="I304" s="624"/>
      <c r="J304" s="646"/>
      <c r="K304" s="440" t="s">
        <v>343</v>
      </c>
      <c r="L304" s="441" t="s">
        <v>487</v>
      </c>
      <c r="M304" s="134">
        <v>44582</v>
      </c>
      <c r="N304" s="157" t="s">
        <v>673</v>
      </c>
      <c r="O304" s="157" t="s">
        <v>326</v>
      </c>
      <c r="P304" s="157" t="s">
        <v>488</v>
      </c>
      <c r="Q304" s="101">
        <v>1833568971.3399999</v>
      </c>
      <c r="R304" s="443" t="s">
        <v>350</v>
      </c>
      <c r="S304" s="101"/>
      <c r="T304" s="441" t="s">
        <v>359</v>
      </c>
      <c r="U304" s="556"/>
      <c r="V304" s="557"/>
      <c r="W304" s="477"/>
      <c r="X304" s="477"/>
      <c r="Y304" s="477"/>
      <c r="Z304" s="477">
        <f t="shared" ref="Z304:Z317" si="207">+Q304-X304</f>
        <v>1833568971.3399999</v>
      </c>
      <c r="AA304" s="477">
        <f t="shared" ref="AA304:AA317" si="208">+X304-Y304</f>
        <v>0</v>
      </c>
      <c r="AB304" s="477">
        <f t="shared" ref="AB304:AB317" si="209">+Q304+AA304-Y304</f>
        <v>1833568971.3399999</v>
      </c>
    </row>
    <row r="305" spans="2:30" ht="30" x14ac:dyDescent="0.2">
      <c r="B305" s="626"/>
      <c r="C305" s="626"/>
      <c r="D305" s="626"/>
      <c r="E305" s="626"/>
      <c r="F305" s="626"/>
      <c r="G305" s="626"/>
      <c r="H305" s="626"/>
      <c r="I305" s="626"/>
      <c r="J305" s="647"/>
      <c r="K305" s="438">
        <v>81101500</v>
      </c>
      <c r="L305" s="441" t="s">
        <v>489</v>
      </c>
      <c r="M305" s="134">
        <v>44582</v>
      </c>
      <c r="N305" s="157" t="s">
        <v>673</v>
      </c>
      <c r="O305" s="157" t="s">
        <v>326</v>
      </c>
      <c r="P305" s="157" t="s">
        <v>663</v>
      </c>
      <c r="Q305" s="101">
        <v>165021207.41999999</v>
      </c>
      <c r="R305" s="443" t="s">
        <v>350</v>
      </c>
      <c r="S305" s="101"/>
      <c r="T305" s="441" t="s">
        <v>359</v>
      </c>
      <c r="U305" s="556"/>
      <c r="V305" s="557"/>
      <c r="W305" s="477"/>
      <c r="X305" s="477"/>
      <c r="Y305" s="477"/>
      <c r="Z305" s="477">
        <f t="shared" si="207"/>
        <v>165021207.41999999</v>
      </c>
      <c r="AA305" s="477">
        <f t="shared" si="208"/>
        <v>0</v>
      </c>
      <c r="AB305" s="477">
        <f t="shared" si="209"/>
        <v>165021207.41999999</v>
      </c>
    </row>
    <row r="306" spans="2:30" ht="45" x14ac:dyDescent="0.2">
      <c r="B306" s="626"/>
      <c r="C306" s="626"/>
      <c r="D306" s="626"/>
      <c r="E306" s="626"/>
      <c r="F306" s="626"/>
      <c r="G306" s="626"/>
      <c r="H306" s="626"/>
      <c r="I306" s="626"/>
      <c r="J306" s="647"/>
      <c r="K306" s="440" t="s">
        <v>343</v>
      </c>
      <c r="L306" s="441" t="s">
        <v>490</v>
      </c>
      <c r="M306" s="134">
        <v>44582</v>
      </c>
      <c r="N306" s="157" t="s">
        <v>593</v>
      </c>
      <c r="O306" s="157" t="s">
        <v>326</v>
      </c>
      <c r="P306" s="157" t="s">
        <v>488</v>
      </c>
      <c r="Q306" s="101">
        <v>0</v>
      </c>
      <c r="R306" s="443" t="s">
        <v>350</v>
      </c>
      <c r="S306" s="101"/>
      <c r="T306" s="441" t="s">
        <v>359</v>
      </c>
      <c r="U306" s="556"/>
      <c r="V306" s="557"/>
      <c r="W306" s="477"/>
      <c r="X306" s="477"/>
      <c r="Y306" s="477"/>
      <c r="Z306" s="477">
        <f t="shared" si="207"/>
        <v>0</v>
      </c>
      <c r="AA306" s="477">
        <f t="shared" si="208"/>
        <v>0</v>
      </c>
      <c r="AB306" s="477">
        <f t="shared" si="209"/>
        <v>0</v>
      </c>
    </row>
    <row r="307" spans="2:30" ht="30" x14ac:dyDescent="0.2">
      <c r="B307" s="626"/>
      <c r="C307" s="626"/>
      <c r="D307" s="626"/>
      <c r="E307" s="626"/>
      <c r="F307" s="626"/>
      <c r="G307" s="626"/>
      <c r="H307" s="626"/>
      <c r="I307" s="626"/>
      <c r="J307" s="647"/>
      <c r="K307" s="438">
        <v>81101500</v>
      </c>
      <c r="L307" s="441" t="s">
        <v>491</v>
      </c>
      <c r="M307" s="134">
        <v>44582</v>
      </c>
      <c r="N307" s="157" t="s">
        <v>593</v>
      </c>
      <c r="O307" s="157" t="s">
        <v>326</v>
      </c>
      <c r="P307" s="157" t="s">
        <v>663</v>
      </c>
      <c r="Q307" s="101">
        <v>0</v>
      </c>
      <c r="R307" s="443" t="s">
        <v>350</v>
      </c>
      <c r="S307" s="101"/>
      <c r="T307" s="441" t="s">
        <v>359</v>
      </c>
      <c r="U307" s="556"/>
      <c r="V307" s="557"/>
      <c r="W307" s="477"/>
      <c r="X307" s="477"/>
      <c r="Y307" s="477"/>
      <c r="Z307" s="477">
        <f t="shared" si="207"/>
        <v>0</v>
      </c>
      <c r="AA307" s="477">
        <f t="shared" si="208"/>
        <v>0</v>
      </c>
      <c r="AB307" s="477">
        <f t="shared" si="209"/>
        <v>0</v>
      </c>
    </row>
    <row r="308" spans="2:30" ht="30" customHeight="1" x14ac:dyDescent="0.2">
      <c r="B308" s="626"/>
      <c r="C308" s="626"/>
      <c r="D308" s="626"/>
      <c r="E308" s="626"/>
      <c r="F308" s="626"/>
      <c r="G308" s="626"/>
      <c r="H308" s="626"/>
      <c r="I308" s="626"/>
      <c r="J308" s="647"/>
      <c r="K308" s="440" t="s">
        <v>343</v>
      </c>
      <c r="L308" s="441" t="s">
        <v>492</v>
      </c>
      <c r="M308" s="134">
        <v>44582</v>
      </c>
      <c r="N308" s="157" t="s">
        <v>673</v>
      </c>
      <c r="O308" s="157" t="s">
        <v>326</v>
      </c>
      <c r="P308" s="157" t="s">
        <v>488</v>
      </c>
      <c r="Q308" s="101">
        <v>3577522080.3000002</v>
      </c>
      <c r="R308" s="443" t="s">
        <v>350</v>
      </c>
      <c r="S308" s="101"/>
      <c r="T308" s="441" t="s">
        <v>359</v>
      </c>
      <c r="U308" s="556"/>
      <c r="V308" s="557"/>
      <c r="W308" s="477"/>
      <c r="X308" s="477"/>
      <c r="Y308" s="477"/>
      <c r="Z308" s="477">
        <f t="shared" si="207"/>
        <v>3577522080.3000002</v>
      </c>
      <c r="AA308" s="477">
        <f t="shared" si="208"/>
        <v>0</v>
      </c>
      <c r="AB308" s="477">
        <f t="shared" si="209"/>
        <v>3577522080.3000002</v>
      </c>
    </row>
    <row r="309" spans="2:30" ht="30" x14ac:dyDescent="0.2">
      <c r="B309" s="626"/>
      <c r="C309" s="626"/>
      <c r="D309" s="626"/>
      <c r="E309" s="626"/>
      <c r="F309" s="626"/>
      <c r="G309" s="626"/>
      <c r="H309" s="626"/>
      <c r="I309" s="626"/>
      <c r="J309" s="647"/>
      <c r="K309" s="438">
        <v>81101500</v>
      </c>
      <c r="L309" s="441" t="s">
        <v>493</v>
      </c>
      <c r="M309" s="134">
        <v>44582</v>
      </c>
      <c r="N309" s="157" t="s">
        <v>673</v>
      </c>
      <c r="O309" s="157" t="s">
        <v>326</v>
      </c>
      <c r="P309" s="157" t="s">
        <v>663</v>
      </c>
      <c r="Q309" s="101">
        <v>286201766.42000002</v>
      </c>
      <c r="R309" s="443" t="s">
        <v>350</v>
      </c>
      <c r="S309" s="101"/>
      <c r="T309" s="441" t="s">
        <v>359</v>
      </c>
      <c r="U309" s="556"/>
      <c r="V309" s="557"/>
      <c r="W309" s="477"/>
      <c r="X309" s="477"/>
      <c r="Y309" s="477"/>
      <c r="Z309" s="477">
        <f t="shared" si="207"/>
        <v>286201766.42000002</v>
      </c>
      <c r="AA309" s="477">
        <f t="shared" si="208"/>
        <v>0</v>
      </c>
      <c r="AB309" s="477">
        <f t="shared" si="209"/>
        <v>286201766.42000002</v>
      </c>
    </row>
    <row r="310" spans="2:30" ht="30" customHeight="1" x14ac:dyDescent="0.2">
      <c r="B310" s="626"/>
      <c r="C310" s="626"/>
      <c r="D310" s="626"/>
      <c r="E310" s="626"/>
      <c r="F310" s="626"/>
      <c r="G310" s="626"/>
      <c r="H310" s="626"/>
      <c r="I310" s="626"/>
      <c r="J310" s="647"/>
      <c r="K310" s="440" t="s">
        <v>343</v>
      </c>
      <c r="L310" s="441" t="s">
        <v>672</v>
      </c>
      <c r="M310" s="134">
        <v>44582</v>
      </c>
      <c r="N310" s="157" t="s">
        <v>673</v>
      </c>
      <c r="O310" s="157" t="s">
        <v>326</v>
      </c>
      <c r="P310" s="157" t="s">
        <v>488</v>
      </c>
      <c r="Q310" s="101">
        <v>1972461407.8</v>
      </c>
      <c r="R310" s="443" t="s">
        <v>350</v>
      </c>
      <c r="S310" s="101"/>
      <c r="T310" s="441" t="s">
        <v>359</v>
      </c>
      <c r="U310" s="556"/>
      <c r="V310" s="557"/>
      <c r="W310" s="477"/>
      <c r="X310" s="477"/>
      <c r="Y310" s="477"/>
      <c r="Z310" s="477">
        <f t="shared" si="207"/>
        <v>1972461407.8</v>
      </c>
      <c r="AA310" s="477">
        <f t="shared" si="208"/>
        <v>0</v>
      </c>
      <c r="AB310" s="477">
        <f t="shared" si="209"/>
        <v>1972461407.8</v>
      </c>
    </row>
    <row r="311" spans="2:30" ht="30" x14ac:dyDescent="0.2">
      <c r="B311" s="626"/>
      <c r="C311" s="626"/>
      <c r="D311" s="626"/>
      <c r="E311" s="626"/>
      <c r="F311" s="626"/>
      <c r="G311" s="626"/>
      <c r="H311" s="626"/>
      <c r="I311" s="626"/>
      <c r="J311" s="647"/>
      <c r="K311" s="440">
        <v>81101500</v>
      </c>
      <c r="L311" s="441" t="s">
        <v>670</v>
      </c>
      <c r="M311" s="134">
        <v>44582</v>
      </c>
      <c r="N311" s="157" t="s">
        <v>673</v>
      </c>
      <c r="O311" s="157" t="s">
        <v>326</v>
      </c>
      <c r="P311" s="157" t="s">
        <v>663</v>
      </c>
      <c r="Q311" s="101">
        <v>177521526.69999999</v>
      </c>
      <c r="R311" s="443" t="s">
        <v>350</v>
      </c>
      <c r="S311" s="101"/>
      <c r="T311" s="441" t="s">
        <v>359</v>
      </c>
      <c r="U311" s="556"/>
      <c r="V311" s="557"/>
      <c r="W311" s="476"/>
      <c r="X311" s="476"/>
      <c r="Y311" s="476"/>
      <c r="Z311" s="477">
        <f t="shared" si="207"/>
        <v>177521526.69999999</v>
      </c>
      <c r="AA311" s="477">
        <f t="shared" si="208"/>
        <v>0</v>
      </c>
      <c r="AB311" s="477">
        <f t="shared" si="209"/>
        <v>177521526.69999999</v>
      </c>
    </row>
    <row r="312" spans="2:30" ht="30" customHeight="1" x14ac:dyDescent="0.2">
      <c r="B312" s="626"/>
      <c r="C312" s="626"/>
      <c r="D312" s="626"/>
      <c r="E312" s="626"/>
      <c r="F312" s="626"/>
      <c r="G312" s="626"/>
      <c r="H312" s="626"/>
      <c r="I312" s="626"/>
      <c r="J312" s="647"/>
      <c r="K312" s="440" t="s">
        <v>343</v>
      </c>
      <c r="L312" s="441" t="s">
        <v>671</v>
      </c>
      <c r="M312" s="134">
        <v>44645</v>
      </c>
      <c r="N312" s="134" t="s">
        <v>679</v>
      </c>
      <c r="O312" s="157" t="s">
        <v>337</v>
      </c>
      <c r="P312" s="157" t="s">
        <v>674</v>
      </c>
      <c r="Q312" s="101">
        <v>310903040.01999998</v>
      </c>
      <c r="R312" s="443" t="s">
        <v>350</v>
      </c>
      <c r="S312" s="101"/>
      <c r="T312" s="441" t="s">
        <v>359</v>
      </c>
      <c r="U312" s="556"/>
      <c r="V312" s="557"/>
      <c r="W312" s="476"/>
      <c r="X312" s="476"/>
      <c r="Y312" s="476"/>
      <c r="Z312" s="477">
        <f t="shared" si="207"/>
        <v>310903040.01999998</v>
      </c>
      <c r="AA312" s="477">
        <f t="shared" si="208"/>
        <v>0</v>
      </c>
      <c r="AB312" s="477">
        <f t="shared" si="209"/>
        <v>310903040.01999998</v>
      </c>
    </row>
    <row r="313" spans="2:30" s="431" customFormat="1" ht="30" customHeight="1" x14ac:dyDescent="0.2">
      <c r="B313" s="626"/>
      <c r="C313" s="626"/>
      <c r="D313" s="626"/>
      <c r="E313" s="626"/>
      <c r="F313" s="626"/>
      <c r="G313" s="626"/>
      <c r="H313" s="626"/>
      <c r="I313" s="626"/>
      <c r="J313" s="647"/>
      <c r="K313" s="440">
        <v>81101500</v>
      </c>
      <c r="L313" s="441" t="s">
        <v>744</v>
      </c>
      <c r="M313" s="134">
        <v>44645</v>
      </c>
      <c r="N313" s="134" t="s">
        <v>679</v>
      </c>
      <c r="O313" s="157" t="s">
        <v>337</v>
      </c>
      <c r="P313" s="157" t="s">
        <v>663</v>
      </c>
      <c r="Q313" s="101">
        <v>85000000</v>
      </c>
      <c r="R313" s="443" t="s">
        <v>350</v>
      </c>
      <c r="S313" s="101"/>
      <c r="T313" s="441" t="s">
        <v>359</v>
      </c>
      <c r="U313" s="556"/>
      <c r="V313" s="557"/>
      <c r="W313" s="476"/>
      <c r="X313" s="476"/>
      <c r="Y313" s="476"/>
      <c r="Z313" s="477">
        <f t="shared" si="207"/>
        <v>85000000</v>
      </c>
      <c r="AA313" s="477"/>
      <c r="AB313" s="477"/>
    </row>
    <row r="314" spans="2:30" s="431" customFormat="1" ht="30" customHeight="1" x14ac:dyDescent="0.2">
      <c r="B314" s="626"/>
      <c r="C314" s="626"/>
      <c r="D314" s="626"/>
      <c r="E314" s="626"/>
      <c r="F314" s="626"/>
      <c r="G314" s="626"/>
      <c r="H314" s="626"/>
      <c r="I314" s="626"/>
      <c r="J314" s="647"/>
      <c r="K314" s="440" t="s">
        <v>343</v>
      </c>
      <c r="L314" s="441" t="s">
        <v>745</v>
      </c>
      <c r="M314" s="134"/>
      <c r="N314" s="134"/>
      <c r="O314" s="157"/>
      <c r="P314" s="157"/>
      <c r="Q314" s="101">
        <v>50000000</v>
      </c>
      <c r="R314" s="443"/>
      <c r="S314" s="101"/>
      <c r="T314" s="441"/>
      <c r="U314" s="556"/>
      <c r="V314" s="557"/>
      <c r="W314" s="476"/>
      <c r="X314" s="476"/>
      <c r="Y314" s="476"/>
      <c r="Z314" s="477"/>
      <c r="AA314" s="477"/>
      <c r="AB314" s="477"/>
    </row>
    <row r="315" spans="2:30" ht="30" x14ac:dyDescent="0.2">
      <c r="B315" s="626"/>
      <c r="C315" s="626"/>
      <c r="D315" s="626"/>
      <c r="E315" s="626"/>
      <c r="F315" s="626"/>
      <c r="G315" s="626"/>
      <c r="H315" s="626"/>
      <c r="I315" s="626"/>
      <c r="J315" s="647"/>
      <c r="K315" s="440">
        <v>81101500</v>
      </c>
      <c r="L315" s="441" t="s">
        <v>624</v>
      </c>
      <c r="M315" s="134">
        <v>44568</v>
      </c>
      <c r="N315" s="134" t="s">
        <v>619</v>
      </c>
      <c r="O315" s="157" t="s">
        <v>324</v>
      </c>
      <c r="P315" s="157" t="s">
        <v>743</v>
      </c>
      <c r="Q315" s="101">
        <v>151800000</v>
      </c>
      <c r="R315" s="443" t="s">
        <v>350</v>
      </c>
      <c r="S315" s="101"/>
      <c r="T315" s="441" t="s">
        <v>359</v>
      </c>
      <c r="U315" s="556" t="s">
        <v>742</v>
      </c>
      <c r="V315" s="557">
        <v>44573</v>
      </c>
      <c r="W315" s="477">
        <f>27600000+19800000+27600000</f>
        <v>75000000</v>
      </c>
      <c r="X315" s="477">
        <f>27600000+19800000+27600000</f>
        <v>75000000</v>
      </c>
      <c r="Y315" s="477"/>
      <c r="Z315" s="477">
        <f t="shared" si="207"/>
        <v>76800000</v>
      </c>
      <c r="AA315" s="477">
        <f t="shared" si="208"/>
        <v>75000000</v>
      </c>
      <c r="AB315" s="477">
        <f t="shared" si="209"/>
        <v>226800000</v>
      </c>
    </row>
    <row r="316" spans="2:30" ht="30" x14ac:dyDescent="0.2">
      <c r="B316" s="626"/>
      <c r="C316" s="626"/>
      <c r="D316" s="626"/>
      <c r="E316" s="626"/>
      <c r="F316" s="626"/>
      <c r="G316" s="626"/>
      <c r="H316" s="626"/>
      <c r="I316" s="626"/>
      <c r="J316" s="647"/>
      <c r="K316" s="440">
        <v>90121600</v>
      </c>
      <c r="L316" s="576" t="s">
        <v>494</v>
      </c>
      <c r="M316" s="134">
        <v>44571</v>
      </c>
      <c r="N316" s="134" t="s">
        <v>619</v>
      </c>
      <c r="O316" s="157" t="s">
        <v>324</v>
      </c>
      <c r="P316" s="157" t="s">
        <v>681</v>
      </c>
      <c r="Q316" s="101">
        <v>10000000</v>
      </c>
      <c r="R316" s="443" t="s">
        <v>350</v>
      </c>
      <c r="S316" s="101"/>
      <c r="T316" s="441" t="s">
        <v>485</v>
      </c>
      <c r="U316" s="556">
        <v>3522</v>
      </c>
      <c r="V316" s="557">
        <v>44573</v>
      </c>
      <c r="W316" s="477">
        <v>10000000</v>
      </c>
      <c r="X316" s="477">
        <v>10000000</v>
      </c>
      <c r="Y316" s="477"/>
      <c r="Z316" s="477">
        <f t="shared" si="207"/>
        <v>0</v>
      </c>
      <c r="AA316" s="477">
        <f t="shared" si="208"/>
        <v>10000000</v>
      </c>
      <c r="AB316" s="477">
        <f t="shared" si="209"/>
        <v>20000000</v>
      </c>
    </row>
    <row r="317" spans="2:30" s="394" customFormat="1" ht="30" x14ac:dyDescent="0.2">
      <c r="B317" s="626"/>
      <c r="C317" s="626"/>
      <c r="D317" s="626"/>
      <c r="E317" s="626"/>
      <c r="F317" s="626"/>
      <c r="G317" s="626"/>
      <c r="H317" s="626"/>
      <c r="I317" s="626"/>
      <c r="J317" s="647"/>
      <c r="K317" s="440">
        <v>90111500</v>
      </c>
      <c r="L317" s="441" t="s">
        <v>352</v>
      </c>
      <c r="M317" s="134">
        <v>44571</v>
      </c>
      <c r="N317" s="134" t="s">
        <v>619</v>
      </c>
      <c r="O317" s="157" t="s">
        <v>324</v>
      </c>
      <c r="P317" s="157" t="s">
        <v>375</v>
      </c>
      <c r="Q317" s="101">
        <v>7500000</v>
      </c>
      <c r="R317" s="443" t="s">
        <v>350</v>
      </c>
      <c r="S317" s="101"/>
      <c r="T317" s="441" t="s">
        <v>359</v>
      </c>
      <c r="U317" s="556"/>
      <c r="V317" s="557"/>
      <c r="W317" s="476"/>
      <c r="X317" s="476"/>
      <c r="Y317" s="476"/>
      <c r="Z317" s="477">
        <f t="shared" si="207"/>
        <v>7500000</v>
      </c>
      <c r="AA317" s="477">
        <f t="shared" si="208"/>
        <v>0</v>
      </c>
      <c r="AB317" s="477">
        <f t="shared" si="209"/>
        <v>7500000</v>
      </c>
    </row>
    <row r="318" spans="2:30" ht="15" customHeight="1" x14ac:dyDescent="0.2">
      <c r="B318" s="626"/>
      <c r="C318" s="626"/>
      <c r="D318" s="626"/>
      <c r="E318" s="626"/>
      <c r="F318" s="626"/>
      <c r="G318" s="626"/>
      <c r="H318" s="626"/>
      <c r="I318" s="626"/>
      <c r="J318" s="647"/>
      <c r="K318" s="438">
        <v>90111500</v>
      </c>
      <c r="L318" s="441" t="s">
        <v>353</v>
      </c>
      <c r="M318" s="134">
        <v>44571</v>
      </c>
      <c r="N318" s="134" t="s">
        <v>619</v>
      </c>
      <c r="O318" s="157" t="s">
        <v>324</v>
      </c>
      <c r="P318" s="157" t="s">
        <v>375</v>
      </c>
      <c r="Q318" s="101">
        <v>7500000</v>
      </c>
      <c r="R318" s="443" t="s">
        <v>350</v>
      </c>
      <c r="S318" s="101"/>
      <c r="T318" s="441" t="s">
        <v>359</v>
      </c>
    </row>
    <row r="319" spans="2:30" ht="15" customHeight="1" thickBot="1" x14ac:dyDescent="0.25"/>
    <row r="320" spans="2:30" ht="15" customHeight="1" thickBot="1" x14ac:dyDescent="0.25">
      <c r="B320" s="505"/>
      <c r="C320" s="506"/>
      <c r="D320" s="506"/>
      <c r="E320" s="506"/>
      <c r="F320" s="506"/>
      <c r="G320" s="506"/>
      <c r="H320" s="506"/>
      <c r="I320" s="506"/>
      <c r="J320" s="506"/>
      <c r="K320" s="506"/>
      <c r="L320" s="506"/>
      <c r="M320" s="506"/>
      <c r="N320" s="506"/>
      <c r="O320" s="506"/>
      <c r="P320" s="506"/>
      <c r="Q320" s="506"/>
      <c r="R320" s="480"/>
      <c r="S320" s="481"/>
      <c r="T320" s="482">
        <f>+Q281+Q267+Q262+Q183+Q7</f>
        <v>40856000000.353333</v>
      </c>
      <c r="AC320" s="433"/>
      <c r="AD320" s="515">
        <v>45576609062</v>
      </c>
    </row>
    <row r="321" spans="20:30" ht="15" customHeight="1" x14ac:dyDescent="0.25">
      <c r="AC321" s="516"/>
      <c r="AD321" s="517"/>
    </row>
    <row r="322" spans="20:30" ht="15" customHeight="1" x14ac:dyDescent="0.2">
      <c r="AC322" s="518">
        <v>1</v>
      </c>
      <c r="AD322" s="515">
        <v>4604000000</v>
      </c>
    </row>
    <row r="323" spans="20:30" ht="15" customHeight="1" x14ac:dyDescent="0.2">
      <c r="AC323" s="518">
        <v>2</v>
      </c>
      <c r="AD323" s="515">
        <v>5173000000</v>
      </c>
    </row>
    <row r="324" spans="20:30" x14ac:dyDescent="0.2">
      <c r="AC324" s="518">
        <v>3</v>
      </c>
      <c r="AD324" s="515">
        <v>10800000</v>
      </c>
    </row>
    <row r="325" spans="20:30" x14ac:dyDescent="0.2">
      <c r="AC325" s="518">
        <v>5</v>
      </c>
      <c r="AD325" s="515">
        <v>9450000000</v>
      </c>
    </row>
    <row r="326" spans="20:30" x14ac:dyDescent="0.2">
      <c r="T326" s="383"/>
      <c r="AC326" s="518">
        <v>7</v>
      </c>
      <c r="AD326" s="515">
        <v>5706000000</v>
      </c>
    </row>
    <row r="327" spans="20:30" x14ac:dyDescent="0.2">
      <c r="AC327" s="518">
        <v>8</v>
      </c>
      <c r="AD327" s="515">
        <v>3750000000</v>
      </c>
    </row>
    <row r="328" spans="20:30" x14ac:dyDescent="0.2">
      <c r="AC328" s="518"/>
      <c r="AD328" s="515"/>
    </row>
    <row r="329" spans="20:30" x14ac:dyDescent="0.2">
      <c r="AC329" s="518" t="s">
        <v>637</v>
      </c>
      <c r="AD329" s="515">
        <v>16771000000</v>
      </c>
    </row>
    <row r="330" spans="20:30" x14ac:dyDescent="0.2">
      <c r="AC330" s="433"/>
      <c r="AD330" s="519">
        <f>+AD323+AD325+AD326+AD327+AD329</f>
        <v>40850000000</v>
      </c>
    </row>
  </sheetData>
  <autoFilter ref="A6:AB73"/>
  <mergeCells count="85">
    <mergeCell ref="B180:J180"/>
    <mergeCell ref="B172:J173"/>
    <mergeCell ref="B18:J18"/>
    <mergeCell ref="B111:J111"/>
    <mergeCell ref="B90:J90"/>
    <mergeCell ref="B96:J98"/>
    <mergeCell ref="B100:J101"/>
    <mergeCell ref="B104:J105"/>
    <mergeCell ref="B41:J42"/>
    <mergeCell ref="B44:J45"/>
    <mergeCell ref="B264:J264"/>
    <mergeCell ref="B249:J249"/>
    <mergeCell ref="B213:J224"/>
    <mergeCell ref="B113:J113"/>
    <mergeCell ref="B117:J118"/>
    <mergeCell ref="B168:J169"/>
    <mergeCell ref="B122:J127"/>
    <mergeCell ref="B131:J131"/>
    <mergeCell ref="B133:J141"/>
    <mergeCell ref="B144:J146"/>
    <mergeCell ref="B148:J149"/>
    <mergeCell ref="B153:J153"/>
    <mergeCell ref="B155:J158"/>
    <mergeCell ref="B160:J160"/>
    <mergeCell ref="B164:J164"/>
    <mergeCell ref="B176:J176"/>
    <mergeCell ref="B13:J13"/>
    <mergeCell ref="B27:J27"/>
    <mergeCell ref="B83:J87"/>
    <mergeCell ref="B61:J61"/>
    <mergeCell ref="B64:J64"/>
    <mergeCell ref="B66:J66"/>
    <mergeCell ref="B71:J71"/>
    <mergeCell ref="B80:J80"/>
    <mergeCell ref="B37:J37"/>
    <mergeCell ref="B33:J33"/>
    <mergeCell ref="B58:J58"/>
    <mergeCell ref="B49:J50"/>
    <mergeCell ref="B52:J52"/>
    <mergeCell ref="B56:J56"/>
    <mergeCell ref="B39:J39"/>
    <mergeCell ref="B304:J318"/>
    <mergeCell ref="B271:J271"/>
    <mergeCell ref="B273:J273"/>
    <mergeCell ref="B275:J275"/>
    <mergeCell ref="B182:J182"/>
    <mergeCell ref="B286:J301"/>
    <mergeCell ref="B189:J189"/>
    <mergeCell ref="B193:J193"/>
    <mergeCell ref="B202:J202"/>
    <mergeCell ref="B208:J208"/>
    <mergeCell ref="B266:J266"/>
    <mergeCell ref="B226:J227"/>
    <mergeCell ref="B229:J231"/>
    <mergeCell ref="B245:J245"/>
    <mergeCell ref="B252:J252"/>
    <mergeCell ref="B259:J259"/>
    <mergeCell ref="Z104:Z105"/>
    <mergeCell ref="AA104:AA105"/>
    <mergeCell ref="AB104:AB105"/>
    <mergeCell ref="U104:U105"/>
    <mergeCell ref="V104:V105"/>
    <mergeCell ref="W104:W105"/>
    <mergeCell ref="X104:X105"/>
    <mergeCell ref="Y104:Y105"/>
    <mergeCell ref="U37:U39"/>
    <mergeCell ref="V37:V39"/>
    <mergeCell ref="W37:W39"/>
    <mergeCell ref="X37:X39"/>
    <mergeCell ref="Y37:Y39"/>
    <mergeCell ref="U219:U220"/>
    <mergeCell ref="V219:V220"/>
    <mergeCell ref="W219:W220"/>
    <mergeCell ref="X219:X220"/>
    <mergeCell ref="Y219:Y220"/>
    <mergeCell ref="Z219:Z220"/>
    <mergeCell ref="AA219:AA220"/>
    <mergeCell ref="AB219:AB220"/>
    <mergeCell ref="V155:V156"/>
    <mergeCell ref="W155:W156"/>
    <mergeCell ref="X155:X156"/>
    <mergeCell ref="Y155:Y156"/>
    <mergeCell ref="Z155:Z156"/>
    <mergeCell ref="AA155:AA156"/>
    <mergeCell ref="AB155:AB156"/>
  </mergeCells>
  <phoneticPr fontId="15" type="noConversion"/>
  <pageMargins left="0.7" right="0.7" top="0.75" bottom="0.75" header="0.3" footer="0.3"/>
  <pageSetup scale="33" fitToHeight="0" orientation="landscape"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A3" sqref="A3"/>
    </sheetView>
  </sheetViews>
  <sheetFormatPr baseColWidth="10" defaultRowHeight="15" x14ac:dyDescent="0.2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A3" sqref="A3"/>
    </sheetView>
  </sheetViews>
  <sheetFormatPr baseColWidth="10" defaultRowHeight="15" x14ac:dyDescent="0.2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7"/>
  <sheetViews>
    <sheetView workbookViewId="0">
      <selection activeCell="D34" sqref="D34"/>
    </sheetView>
  </sheetViews>
  <sheetFormatPr baseColWidth="10" defaultRowHeight="15" x14ac:dyDescent="0.25"/>
  <cols>
    <col min="1" max="1" width="29.7109375" customWidth="1"/>
    <col min="2" max="2" width="27.28515625" style="571" customWidth="1"/>
    <col min="7" max="7" width="18.28515625" bestFit="1" customWidth="1"/>
  </cols>
  <sheetData>
    <row r="1" spans="1:2" x14ac:dyDescent="0.25">
      <c r="A1" t="s">
        <v>682</v>
      </c>
      <c r="B1" s="571" t="s">
        <v>710</v>
      </c>
    </row>
    <row r="2" spans="1:2" x14ac:dyDescent="0.25">
      <c r="A2" t="s">
        <v>700</v>
      </c>
      <c r="B2" s="571" t="s">
        <v>710</v>
      </c>
    </row>
    <row r="3" spans="1:2" x14ac:dyDescent="0.25">
      <c r="A3" t="s">
        <v>683</v>
      </c>
      <c r="B3" s="571" t="s">
        <v>710</v>
      </c>
    </row>
    <row r="4" spans="1:2" x14ac:dyDescent="0.25">
      <c r="A4" t="s">
        <v>701</v>
      </c>
      <c r="B4" s="571" t="s">
        <v>710</v>
      </c>
    </row>
    <row r="5" spans="1:2" x14ac:dyDescent="0.25">
      <c r="A5" t="s">
        <v>684</v>
      </c>
      <c r="B5" s="571" t="s">
        <v>710</v>
      </c>
    </row>
    <row r="6" spans="1:2" x14ac:dyDescent="0.25">
      <c r="A6" t="s">
        <v>702</v>
      </c>
      <c r="B6" s="571" t="s">
        <v>710</v>
      </c>
    </row>
    <row r="7" spans="1:2" x14ac:dyDescent="0.25">
      <c r="A7" t="s">
        <v>685</v>
      </c>
      <c r="B7" s="571" t="s">
        <v>711</v>
      </c>
    </row>
    <row r="8" spans="1:2" x14ac:dyDescent="0.25">
      <c r="A8" t="s">
        <v>686</v>
      </c>
      <c r="B8" s="571" t="s">
        <v>711</v>
      </c>
    </row>
    <row r="9" spans="1:2" x14ac:dyDescent="0.25">
      <c r="A9" t="s">
        <v>687</v>
      </c>
      <c r="B9" s="571" t="s">
        <v>711</v>
      </c>
    </row>
    <row r="10" spans="1:2" x14ac:dyDescent="0.25">
      <c r="A10" t="s">
        <v>688</v>
      </c>
      <c r="B10" s="571" t="s">
        <v>712</v>
      </c>
    </row>
    <row r="11" spans="1:2" x14ac:dyDescent="0.25">
      <c r="A11" t="s">
        <v>703</v>
      </c>
      <c r="B11" s="571" t="s">
        <v>712</v>
      </c>
    </row>
    <row r="12" spans="1:2" x14ac:dyDescent="0.25">
      <c r="A12" t="s">
        <v>689</v>
      </c>
      <c r="B12" s="571" t="s">
        <v>712</v>
      </c>
    </row>
    <row r="13" spans="1:2" x14ac:dyDescent="0.25">
      <c r="A13" t="s">
        <v>690</v>
      </c>
      <c r="B13" s="571" t="s">
        <v>712</v>
      </c>
    </row>
    <row r="14" spans="1:2" x14ac:dyDescent="0.25">
      <c r="A14" t="s">
        <v>691</v>
      </c>
      <c r="B14" s="571" t="s">
        <v>712</v>
      </c>
    </row>
    <row r="15" spans="1:2" x14ac:dyDescent="0.25">
      <c r="A15" t="s">
        <v>704</v>
      </c>
      <c r="B15" s="571" t="s">
        <v>712</v>
      </c>
    </row>
    <row r="16" spans="1:2" x14ac:dyDescent="0.25">
      <c r="A16" t="s">
        <v>692</v>
      </c>
      <c r="B16" s="571" t="s">
        <v>712</v>
      </c>
    </row>
    <row r="17" spans="1:7" x14ac:dyDescent="0.25">
      <c r="A17" t="s">
        <v>693</v>
      </c>
      <c r="B17" s="571" t="s">
        <v>712</v>
      </c>
    </row>
    <row r="18" spans="1:7" x14ac:dyDescent="0.25">
      <c r="A18" t="s">
        <v>705</v>
      </c>
      <c r="B18" s="571" t="s">
        <v>713</v>
      </c>
    </row>
    <row r="19" spans="1:7" x14ac:dyDescent="0.25">
      <c r="A19" t="s">
        <v>694</v>
      </c>
      <c r="B19" s="571" t="s">
        <v>713</v>
      </c>
    </row>
    <row r="20" spans="1:7" x14ac:dyDescent="0.25">
      <c r="A20" t="s">
        <v>706</v>
      </c>
      <c r="B20" s="571" t="s">
        <v>713</v>
      </c>
      <c r="G20" s="479"/>
    </row>
    <row r="21" spans="1:7" x14ac:dyDescent="0.25">
      <c r="A21" t="s">
        <v>695</v>
      </c>
      <c r="B21" s="571" t="s">
        <v>714</v>
      </c>
    </row>
    <row r="22" spans="1:7" x14ac:dyDescent="0.25">
      <c r="A22" t="s">
        <v>707</v>
      </c>
      <c r="B22" s="571" t="s">
        <v>715</v>
      </c>
    </row>
    <row r="23" spans="1:7" x14ac:dyDescent="0.25">
      <c r="A23" t="s">
        <v>696</v>
      </c>
      <c r="B23" s="571" t="s">
        <v>715</v>
      </c>
    </row>
    <row r="24" spans="1:7" x14ac:dyDescent="0.25">
      <c r="A24" t="s">
        <v>708</v>
      </c>
      <c r="B24" s="571" t="s">
        <v>715</v>
      </c>
    </row>
    <row r="25" spans="1:7" x14ac:dyDescent="0.25">
      <c r="A25" t="s">
        <v>697</v>
      </c>
      <c r="B25" s="571" t="s">
        <v>715</v>
      </c>
    </row>
    <row r="26" spans="1:7" x14ac:dyDescent="0.25">
      <c r="A26" t="s">
        <v>698</v>
      </c>
      <c r="B26" s="571" t="s">
        <v>716</v>
      </c>
    </row>
    <row r="27" spans="1:7" x14ac:dyDescent="0.25">
      <c r="A27" t="s">
        <v>709</v>
      </c>
      <c r="B27" s="571" t="s">
        <v>716</v>
      </c>
    </row>
  </sheetData>
  <pageMargins left="0.7" right="0.7" top="0.75" bottom="0.75" header="0.3" footer="0.3"/>
  <pageSetup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6"/>
  <sheetViews>
    <sheetView workbookViewId="0">
      <selection activeCell="G26" sqref="G26"/>
    </sheetView>
  </sheetViews>
  <sheetFormatPr baseColWidth="10" defaultRowHeight="15" x14ac:dyDescent="0.25"/>
  <sheetData>
    <row r="1" spans="1:2" x14ac:dyDescent="0.25">
      <c r="A1" s="570" t="s">
        <v>719</v>
      </c>
      <c r="B1" s="570" t="s">
        <v>710</v>
      </c>
    </row>
    <row r="2" spans="1:2" x14ac:dyDescent="0.25">
      <c r="A2" s="570" t="s">
        <v>720</v>
      </c>
      <c r="B2" s="570" t="s">
        <v>710</v>
      </c>
    </row>
    <row r="3" spans="1:2" x14ac:dyDescent="0.25">
      <c r="A3" s="570" t="s">
        <v>721</v>
      </c>
      <c r="B3" s="570" t="s">
        <v>710</v>
      </c>
    </row>
    <row r="4" spans="1:2" x14ac:dyDescent="0.25">
      <c r="A4" s="570" t="s">
        <v>722</v>
      </c>
      <c r="B4" s="570" t="s">
        <v>711</v>
      </c>
    </row>
    <row r="5" spans="1:2" x14ac:dyDescent="0.25">
      <c r="A5" s="570" t="s">
        <v>723</v>
      </c>
      <c r="B5" s="570" t="s">
        <v>711</v>
      </c>
    </row>
    <row r="6" spans="1:2" x14ac:dyDescent="0.25">
      <c r="A6" s="570" t="s">
        <v>724</v>
      </c>
      <c r="B6" s="570" t="s">
        <v>711</v>
      </c>
    </row>
    <row r="7" spans="1:2" x14ac:dyDescent="0.25">
      <c r="A7" s="570" t="s">
        <v>688</v>
      </c>
      <c r="B7" s="570" t="s">
        <v>712</v>
      </c>
    </row>
    <row r="8" spans="1:2" x14ac:dyDescent="0.25">
      <c r="A8" s="570" t="s">
        <v>725</v>
      </c>
      <c r="B8" s="570" t="s">
        <v>712</v>
      </c>
    </row>
    <row r="9" spans="1:2" x14ac:dyDescent="0.25">
      <c r="A9" s="570" t="s">
        <v>692</v>
      </c>
      <c r="B9" s="570" t="s">
        <v>712</v>
      </c>
    </row>
    <row r="10" spans="1:2" x14ac:dyDescent="0.25">
      <c r="A10" s="570" t="s">
        <v>726</v>
      </c>
      <c r="B10" s="570" t="s">
        <v>712</v>
      </c>
    </row>
    <row r="11" spans="1:2" x14ac:dyDescent="0.25">
      <c r="A11" s="570" t="s">
        <v>727</v>
      </c>
      <c r="B11" s="570" t="s">
        <v>712</v>
      </c>
    </row>
    <row r="12" spans="1:2" x14ac:dyDescent="0.25">
      <c r="A12" s="570" t="s">
        <v>695</v>
      </c>
      <c r="B12" s="570" t="s">
        <v>714</v>
      </c>
    </row>
    <row r="13" spans="1:2" x14ac:dyDescent="0.25">
      <c r="A13" s="570" t="s">
        <v>728</v>
      </c>
      <c r="B13" s="570" t="s">
        <v>714</v>
      </c>
    </row>
    <row r="14" spans="1:2" x14ac:dyDescent="0.25">
      <c r="A14" s="570" t="s">
        <v>729</v>
      </c>
      <c r="B14" s="570" t="s">
        <v>715</v>
      </c>
    </row>
    <row r="15" spans="1:2" x14ac:dyDescent="0.25">
      <c r="A15" s="570" t="s">
        <v>730</v>
      </c>
      <c r="B15" s="570" t="s">
        <v>716</v>
      </c>
    </row>
    <row r="16" spans="1:2" x14ac:dyDescent="0.25">
      <c r="A16" s="570" t="s">
        <v>731</v>
      </c>
      <c r="B16" s="570" t="s">
        <v>716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0"/>
  <sheetViews>
    <sheetView workbookViewId="0">
      <selection sqref="A1:B40"/>
    </sheetView>
  </sheetViews>
  <sheetFormatPr baseColWidth="10" defaultRowHeight="15" x14ac:dyDescent="0.25"/>
  <sheetData>
    <row r="1" spans="1:2" x14ac:dyDescent="0.25">
      <c r="A1" s="570" t="s">
        <v>682</v>
      </c>
      <c r="B1" s="570" t="s">
        <v>710</v>
      </c>
    </row>
    <row r="2" spans="1:2" x14ac:dyDescent="0.25">
      <c r="A2" s="570" t="s">
        <v>719</v>
      </c>
      <c r="B2" s="570" t="s">
        <v>710</v>
      </c>
    </row>
    <row r="3" spans="1:2" x14ac:dyDescent="0.25">
      <c r="A3" s="570" t="s">
        <v>734</v>
      </c>
      <c r="B3" s="570" t="s">
        <v>710</v>
      </c>
    </row>
    <row r="4" spans="1:2" x14ac:dyDescent="0.25">
      <c r="A4" s="570" t="s">
        <v>721</v>
      </c>
      <c r="B4" s="570" t="s">
        <v>710</v>
      </c>
    </row>
    <row r="5" spans="1:2" x14ac:dyDescent="0.25">
      <c r="A5" s="570" t="s">
        <v>701</v>
      </c>
      <c r="B5" s="570" t="s">
        <v>710</v>
      </c>
    </row>
    <row r="6" spans="1:2" x14ac:dyDescent="0.25">
      <c r="A6" s="570" t="s">
        <v>684</v>
      </c>
      <c r="B6" s="570" t="s">
        <v>710</v>
      </c>
    </row>
    <row r="7" spans="1:2" x14ac:dyDescent="0.25">
      <c r="A7" s="570" t="s">
        <v>702</v>
      </c>
      <c r="B7" s="570" t="s">
        <v>710</v>
      </c>
    </row>
    <row r="8" spans="1:2" x14ac:dyDescent="0.25">
      <c r="A8" s="570" t="s">
        <v>686</v>
      </c>
      <c r="B8" s="570" t="s">
        <v>711</v>
      </c>
    </row>
    <row r="9" spans="1:2" x14ac:dyDescent="0.25">
      <c r="A9" s="570" t="s">
        <v>722</v>
      </c>
      <c r="B9" s="570" t="s">
        <v>711</v>
      </c>
    </row>
    <row r="10" spans="1:2" x14ac:dyDescent="0.25">
      <c r="A10" s="570" t="s">
        <v>735</v>
      </c>
      <c r="B10" s="570" t="s">
        <v>711</v>
      </c>
    </row>
    <row r="11" spans="1:2" x14ac:dyDescent="0.25">
      <c r="A11" s="570" t="s">
        <v>736</v>
      </c>
      <c r="B11" s="570" t="s">
        <v>711</v>
      </c>
    </row>
    <row r="12" spans="1:2" x14ac:dyDescent="0.25">
      <c r="A12" s="570" t="s">
        <v>723</v>
      </c>
      <c r="B12" s="570" t="s">
        <v>711</v>
      </c>
    </row>
    <row r="13" spans="1:2" x14ac:dyDescent="0.25">
      <c r="A13" s="570" t="s">
        <v>687</v>
      </c>
      <c r="B13" s="570" t="s">
        <v>711</v>
      </c>
    </row>
    <row r="14" spans="1:2" x14ac:dyDescent="0.25">
      <c r="A14" s="570" t="s">
        <v>724</v>
      </c>
      <c r="B14" s="570" t="s">
        <v>711</v>
      </c>
    </row>
    <row r="15" spans="1:2" x14ac:dyDescent="0.25">
      <c r="A15" s="570" t="s">
        <v>688</v>
      </c>
      <c r="B15" s="570" t="s">
        <v>712</v>
      </c>
    </row>
    <row r="16" spans="1:2" x14ac:dyDescent="0.25">
      <c r="A16" s="570" t="s">
        <v>703</v>
      </c>
      <c r="B16" s="570" t="s">
        <v>712</v>
      </c>
    </row>
    <row r="17" spans="1:2" x14ac:dyDescent="0.25">
      <c r="A17" s="570" t="s">
        <v>689</v>
      </c>
      <c r="B17" s="570" t="s">
        <v>712</v>
      </c>
    </row>
    <row r="18" spans="1:2" x14ac:dyDescent="0.25">
      <c r="A18" s="570" t="s">
        <v>690</v>
      </c>
      <c r="B18" s="570" t="s">
        <v>712</v>
      </c>
    </row>
    <row r="19" spans="1:2" x14ac:dyDescent="0.25">
      <c r="A19" s="570" t="s">
        <v>737</v>
      </c>
      <c r="B19" s="570" t="s">
        <v>712</v>
      </c>
    </row>
    <row r="20" spans="1:2" x14ac:dyDescent="0.25">
      <c r="A20" s="570" t="s">
        <v>691</v>
      </c>
      <c r="B20" s="570" t="s">
        <v>712</v>
      </c>
    </row>
    <row r="21" spans="1:2" x14ac:dyDescent="0.25">
      <c r="A21" s="570" t="s">
        <v>692</v>
      </c>
      <c r="B21" s="570" t="s">
        <v>712</v>
      </c>
    </row>
    <row r="22" spans="1:2" x14ac:dyDescent="0.25">
      <c r="A22" s="570" t="s">
        <v>693</v>
      </c>
      <c r="B22" s="570" t="s">
        <v>712</v>
      </c>
    </row>
    <row r="23" spans="1:2" x14ac:dyDescent="0.25">
      <c r="A23" s="570" t="s">
        <v>726</v>
      </c>
      <c r="B23" s="570" t="s">
        <v>712</v>
      </c>
    </row>
    <row r="24" spans="1:2" x14ac:dyDescent="0.25">
      <c r="A24" s="570" t="s">
        <v>727</v>
      </c>
      <c r="B24" s="570" t="s">
        <v>712</v>
      </c>
    </row>
    <row r="25" spans="1:2" x14ac:dyDescent="0.25">
      <c r="A25" s="570" t="s">
        <v>738</v>
      </c>
      <c r="B25" s="570" t="s">
        <v>712</v>
      </c>
    </row>
    <row r="26" spans="1:2" x14ac:dyDescent="0.25">
      <c r="A26" s="570" t="s">
        <v>705</v>
      </c>
      <c r="B26" s="570" t="s">
        <v>713</v>
      </c>
    </row>
    <row r="27" spans="1:2" x14ac:dyDescent="0.25">
      <c r="A27" s="570" t="s">
        <v>739</v>
      </c>
      <c r="B27" s="570" t="s">
        <v>713</v>
      </c>
    </row>
    <row r="28" spans="1:2" x14ac:dyDescent="0.25">
      <c r="A28" s="570" t="s">
        <v>694</v>
      </c>
      <c r="B28" s="570" t="s">
        <v>713</v>
      </c>
    </row>
    <row r="29" spans="1:2" x14ac:dyDescent="0.25">
      <c r="A29" s="570" t="s">
        <v>706</v>
      </c>
      <c r="B29" s="570" t="s">
        <v>713</v>
      </c>
    </row>
    <row r="30" spans="1:2" x14ac:dyDescent="0.25">
      <c r="A30" s="570" t="s">
        <v>695</v>
      </c>
      <c r="B30" s="570" t="s">
        <v>714</v>
      </c>
    </row>
    <row r="31" spans="1:2" x14ac:dyDescent="0.25">
      <c r="A31" s="570" t="s">
        <v>728</v>
      </c>
      <c r="B31" s="570" t="s">
        <v>714</v>
      </c>
    </row>
    <row r="32" spans="1:2" x14ac:dyDescent="0.25">
      <c r="A32" s="570" t="s">
        <v>696</v>
      </c>
      <c r="B32" s="570" t="s">
        <v>715</v>
      </c>
    </row>
    <row r="33" spans="1:2" x14ac:dyDescent="0.25">
      <c r="A33" s="570" t="s">
        <v>740</v>
      </c>
      <c r="B33" s="570" t="s">
        <v>715</v>
      </c>
    </row>
    <row r="34" spans="1:2" x14ac:dyDescent="0.25">
      <c r="A34" s="570" t="s">
        <v>708</v>
      </c>
      <c r="B34" s="570" t="s">
        <v>715</v>
      </c>
    </row>
    <row r="35" spans="1:2" x14ac:dyDescent="0.25">
      <c r="A35" s="570" t="s">
        <v>697</v>
      </c>
      <c r="B35" s="570" t="s">
        <v>715</v>
      </c>
    </row>
    <row r="36" spans="1:2" x14ac:dyDescent="0.25">
      <c r="A36" s="570" t="s">
        <v>729</v>
      </c>
      <c r="B36" s="570" t="s">
        <v>715</v>
      </c>
    </row>
    <row r="37" spans="1:2" x14ac:dyDescent="0.25">
      <c r="A37" s="570" t="s">
        <v>730</v>
      </c>
      <c r="B37" s="570" t="s">
        <v>716</v>
      </c>
    </row>
    <row r="38" spans="1:2" x14ac:dyDescent="0.25">
      <c r="A38" s="570" t="s">
        <v>731</v>
      </c>
      <c r="B38" s="570" t="s">
        <v>716</v>
      </c>
    </row>
    <row r="39" spans="1:2" x14ac:dyDescent="0.25">
      <c r="A39" s="570" t="s">
        <v>698</v>
      </c>
      <c r="B39" s="570" t="s">
        <v>716</v>
      </c>
    </row>
    <row r="40" spans="1:2" x14ac:dyDescent="0.25">
      <c r="A40" s="570" t="s">
        <v>709</v>
      </c>
      <c r="B40" s="570" t="s">
        <v>716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Proy Plan Adqu ICFE 2020 Ang</vt:lpstr>
      <vt:lpstr>Plan Adqu ICFE 2021 Total</vt:lpstr>
      <vt:lpstr>Hoja1</vt:lpstr>
      <vt:lpstr>Hoja5</vt:lpstr>
      <vt:lpstr>Hoja2</vt:lpstr>
      <vt:lpstr>Hoja3</vt:lpstr>
      <vt:lpstr>Hoja4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Jairo Adriano Arteaga Velasquez</dc:creator>
  <cp:lastModifiedBy>Angie Dayana Hernandez Lobaton</cp:lastModifiedBy>
  <cp:lastPrinted>2019-03-20T22:20:19Z</cp:lastPrinted>
  <dcterms:created xsi:type="dcterms:W3CDTF">2019-03-14T16:36:22Z</dcterms:created>
  <dcterms:modified xsi:type="dcterms:W3CDTF">2022-05-13T20:41:49Z</dcterms:modified>
</cp:coreProperties>
</file>