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Plan de Adquisiciones 2022-ICFE\"/>
    </mc:Choice>
  </mc:AlternateContent>
  <bookViews>
    <workbookView xWindow="0" yWindow="0" windowWidth="4665" windowHeight="10290" firstSheet="2" activeTab="2"/>
  </bookViews>
  <sheets>
    <sheet name="Proy Plan Adqu ICFE 2020 Ang" sheetId="5" state="hidden" r:id="rId1"/>
    <sheet name="Hoja1" sheetId="9" r:id="rId2"/>
    <sheet name="Plan Adqu ICFE 2022" sheetId="8" r:id="rId3"/>
  </sheets>
  <externalReferences>
    <externalReference r:id="rId4"/>
    <externalReference r:id="rId5"/>
    <externalReference r:id="rId6"/>
  </externalReferences>
  <definedNames>
    <definedName name="_xlnm._FilterDatabase" localSheetId="2" hidden="1">'Plan Adqu ICFE 2022'!$B$6:$AG$328</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5" i="8" l="1"/>
  <c r="Q52" i="8" l="1"/>
  <c r="Q48" i="8" s="1"/>
  <c r="Q49" i="8"/>
  <c r="Q86" i="8"/>
  <c r="Z142" i="8"/>
  <c r="AB142" i="8"/>
  <c r="Q75" i="8"/>
  <c r="Q293" i="8"/>
  <c r="Q301" i="8"/>
  <c r="Q294" i="8"/>
  <c r="Q237" i="8" l="1"/>
  <c r="Q250" i="8"/>
  <c r="Q325" i="8" l="1"/>
  <c r="Q323" i="8"/>
  <c r="Q322" i="8"/>
  <c r="Q320" i="8"/>
  <c r="Q306" i="8"/>
  <c r="Q305" i="8"/>
  <c r="Q304" i="8"/>
  <c r="Q139" i="8" l="1"/>
  <c r="Y86" i="8"/>
  <c r="Q19" i="8"/>
  <c r="Y235" i="8" l="1"/>
  <c r="Q136" i="8" l="1"/>
  <c r="Q16" i="8"/>
  <c r="Q138" i="8"/>
  <c r="Q143" i="8"/>
  <c r="Q134" i="8"/>
  <c r="Q81" i="8" l="1"/>
  <c r="W179" i="8" l="1"/>
  <c r="Q159" i="8" l="1"/>
  <c r="Q263" i="8"/>
  <c r="Q262" i="8"/>
  <c r="Z323" i="8" l="1"/>
  <c r="AB323" i="8"/>
  <c r="Z322" i="8"/>
  <c r="AB322" i="8"/>
  <c r="Z321" i="8"/>
  <c r="AB321" i="8"/>
  <c r="Q13" i="8" l="1"/>
  <c r="Q232" i="8"/>
  <c r="Q235" i="8"/>
  <c r="Q236" i="8"/>
  <c r="Q228" i="8"/>
  <c r="Q224" i="8"/>
  <c r="Q226" i="8"/>
  <c r="Q223" i="8"/>
  <c r="Q221" i="8"/>
  <c r="Q216" i="8"/>
  <c r="Q163" i="8"/>
  <c r="Q157" i="8"/>
  <c r="Y159" i="8" l="1"/>
  <c r="Z159" i="8"/>
  <c r="Q303" i="8" l="1"/>
  <c r="Q227" i="8" l="1"/>
  <c r="Q258" i="8" l="1"/>
  <c r="Q257" i="8"/>
  <c r="Q302" i="8" l="1"/>
  <c r="Q295" i="8"/>
  <c r="AB258" i="8" l="1"/>
  <c r="Z258" i="8"/>
  <c r="Y258" i="8"/>
  <c r="AB13" i="8"/>
  <c r="AB14" i="8"/>
  <c r="AB16" i="8"/>
  <c r="AB19" i="8"/>
  <c r="AB22" i="8"/>
  <c r="AB28" i="8"/>
  <c r="Z28" i="8"/>
  <c r="Y28" i="8"/>
  <c r="Z22" i="8"/>
  <c r="Y22" i="8"/>
  <c r="Z19" i="8"/>
  <c r="Y19" i="8"/>
  <c r="Z16" i="8"/>
  <c r="Y16" i="8"/>
  <c r="Z14" i="8"/>
  <c r="Y14" i="8"/>
  <c r="Z13" i="8"/>
  <c r="Y13" i="8"/>
  <c r="Y167" i="8"/>
  <c r="W167" i="8"/>
  <c r="Y34" i="8"/>
  <c r="Y38" i="8"/>
  <c r="Z38" i="8"/>
  <c r="AB38" i="8"/>
  <c r="Y40" i="8"/>
  <c r="Y42" i="8"/>
  <c r="Y43" i="8"/>
  <c r="Z43" i="8"/>
  <c r="AB43" i="8"/>
  <c r="Y46" i="8"/>
  <c r="Y50" i="8"/>
  <c r="Z50" i="8"/>
  <c r="AB50" i="8"/>
  <c r="Y51" i="8"/>
  <c r="AA53" i="8"/>
  <c r="Y54" i="8"/>
  <c r="Z54" i="8"/>
  <c r="AB54" i="8"/>
  <c r="Y57" i="8"/>
  <c r="Z57" i="8"/>
  <c r="AB57" i="8"/>
  <c r="Y59" i="8"/>
  <c r="Z59" i="8"/>
  <c r="AB59" i="8"/>
  <c r="Y62" i="8"/>
  <c r="Y257" i="8"/>
  <c r="Y256" i="8"/>
  <c r="Y252" i="8"/>
  <c r="Z252" i="8"/>
  <c r="AB252" i="8"/>
  <c r="Y251" i="8"/>
  <c r="Y246" i="8"/>
  <c r="Z246" i="8"/>
  <c r="AB246" i="8"/>
  <c r="Y242" i="8"/>
  <c r="Z242" i="8"/>
  <c r="AB242" i="8"/>
  <c r="Y237" i="8"/>
  <c r="Z237" i="8"/>
  <c r="AB237" i="8"/>
  <c r="Y236" i="8"/>
  <c r="Z236" i="8"/>
  <c r="AB236" i="8"/>
  <c r="Z235" i="8"/>
  <c r="AB235" i="8"/>
  <c r="Y233" i="8"/>
  <c r="Z233" i="8"/>
  <c r="AB233" i="8"/>
  <c r="Y232" i="8"/>
  <c r="Z232" i="8"/>
  <c r="AB232" i="8"/>
  <c r="Y230" i="8"/>
  <c r="Z230" i="8"/>
  <c r="AB230" i="8"/>
  <c r="Y228" i="8"/>
  <c r="Y227" i="8"/>
  <c r="Y226" i="8"/>
  <c r="Y225" i="8"/>
  <c r="Z225" i="8"/>
  <c r="AB225" i="8"/>
  <c r="AA224" i="8"/>
  <c r="Y223" i="8"/>
  <c r="Y221" i="8"/>
  <c r="Y220" i="8"/>
  <c r="Z220" i="8"/>
  <c r="AB220" i="8"/>
  <c r="Y219" i="8"/>
  <c r="Z219" i="8"/>
  <c r="AB219" i="8"/>
  <c r="Y218" i="8"/>
  <c r="Y216" i="8"/>
  <c r="Y211" i="8"/>
  <c r="Z211" i="8"/>
  <c r="AB211" i="8"/>
  <c r="Y208" i="8"/>
  <c r="Z208" i="8"/>
  <c r="AB208" i="8"/>
  <c r="Y206" i="8"/>
  <c r="Z206" i="8"/>
  <c r="AB206" i="8"/>
  <c r="Y65" i="8"/>
  <c r="Z65" i="8"/>
  <c r="AB65" i="8"/>
  <c r="Y67" i="8"/>
  <c r="Z67" i="8"/>
  <c r="AB67" i="8"/>
  <c r="Y69" i="8"/>
  <c r="Y75" i="8"/>
  <c r="Z75" i="8"/>
  <c r="AB75" i="8"/>
  <c r="Y78" i="8"/>
  <c r="Z78" i="8"/>
  <c r="AB78" i="8"/>
  <c r="Y81" i="8"/>
  <c r="Z81" i="8"/>
  <c r="AB81" i="8"/>
  <c r="Y84" i="8"/>
  <c r="Z84" i="8"/>
  <c r="AB84" i="8"/>
  <c r="Y85" i="8"/>
  <c r="Z85" i="8"/>
  <c r="AB85" i="8"/>
  <c r="Z86" i="8"/>
  <c r="AB86" i="8"/>
  <c r="Y87" i="8"/>
  <c r="Z87" i="8"/>
  <c r="AB87" i="8"/>
  <c r="Y88" i="8"/>
  <c r="Z88" i="8"/>
  <c r="AB88" i="8"/>
  <c r="Y91" i="8"/>
  <c r="Z91" i="8"/>
  <c r="AB91" i="8"/>
  <c r="Y93" i="8"/>
  <c r="Z93" i="8"/>
  <c r="AB93" i="8"/>
  <c r="Y97" i="8"/>
  <c r="Z97" i="8"/>
  <c r="AB97" i="8"/>
  <c r="Y98" i="8"/>
  <c r="Z98" i="8"/>
  <c r="AB98" i="8"/>
  <c r="Y99" i="8"/>
  <c r="Z99" i="8"/>
  <c r="AB99" i="8"/>
  <c r="Y101" i="8"/>
  <c r="Z101" i="8"/>
  <c r="AB101" i="8"/>
  <c r="Y102" i="8"/>
  <c r="Z102" i="8"/>
  <c r="AB102" i="8"/>
  <c r="Y105" i="8"/>
  <c r="Y106" i="8"/>
  <c r="Z106" i="8"/>
  <c r="AB106" i="8"/>
  <c r="Y112" i="8"/>
  <c r="Z112" i="8"/>
  <c r="AB112" i="8"/>
  <c r="Y114" i="8"/>
  <c r="Z114" i="8"/>
  <c r="AB114" i="8"/>
  <c r="Y118" i="8"/>
  <c r="Z118" i="8"/>
  <c r="AB118" i="8"/>
  <c r="Y119" i="8"/>
  <c r="Y123" i="8"/>
  <c r="Y124" i="8"/>
  <c r="Z124" i="8"/>
  <c r="AB124" i="8"/>
  <c r="Y125" i="8"/>
  <c r="Z125" i="8"/>
  <c r="AB125" i="8"/>
  <c r="Y126" i="8"/>
  <c r="Y127" i="8"/>
  <c r="Z127" i="8"/>
  <c r="AB127" i="8"/>
  <c r="Y128" i="8"/>
  <c r="Z128" i="8"/>
  <c r="AB128" i="8"/>
  <c r="Y129" i="8"/>
  <c r="Y130" i="8"/>
  <c r="Z130" i="8"/>
  <c r="AB130" i="8"/>
  <c r="Y132" i="8"/>
  <c r="Z132" i="8"/>
  <c r="AB132" i="8"/>
  <c r="Y134" i="8"/>
  <c r="Z134" i="8"/>
  <c r="AB134" i="8"/>
  <c r="Y135" i="8"/>
  <c r="Z135" i="8"/>
  <c r="AB135" i="8"/>
  <c r="Y136" i="8"/>
  <c r="Z136" i="8"/>
  <c r="AB136" i="8"/>
  <c r="Y137" i="8"/>
  <c r="Z137" i="8"/>
  <c r="AB137" i="8"/>
  <c r="Y138" i="8"/>
  <c r="Z138" i="8"/>
  <c r="AB138" i="8"/>
  <c r="Y139" i="8"/>
  <c r="Z139" i="8"/>
  <c r="AB139" i="8"/>
  <c r="Y140" i="8"/>
  <c r="Z140" i="8"/>
  <c r="AB140" i="8"/>
  <c r="Y141" i="8"/>
  <c r="Z141" i="8"/>
  <c r="AB141" i="8"/>
  <c r="Y143" i="8"/>
  <c r="Z143" i="8"/>
  <c r="AB143" i="8"/>
  <c r="Y146" i="8"/>
  <c r="Z146" i="8"/>
  <c r="AB146" i="8"/>
  <c r="Y147" i="8"/>
  <c r="Z147" i="8"/>
  <c r="AB147" i="8"/>
  <c r="Y148" i="8"/>
  <c r="Z148" i="8"/>
  <c r="AB148" i="8"/>
  <c r="Y150" i="8"/>
  <c r="Z150" i="8"/>
  <c r="AB150" i="8"/>
  <c r="Y151" i="8"/>
  <c r="Z151" i="8"/>
  <c r="AB151" i="8"/>
  <c r="Y155" i="8"/>
  <c r="Z155" i="8"/>
  <c r="AB155" i="8"/>
  <c r="Y158" i="8"/>
  <c r="Z158" i="8"/>
  <c r="AB158" i="8"/>
  <c r="AB159" i="8"/>
  <c r="Y160" i="8"/>
  <c r="Z160" i="8"/>
  <c r="AB160" i="8"/>
  <c r="Y162" i="8"/>
  <c r="Z162" i="8"/>
  <c r="AB162" i="8"/>
  <c r="Y163" i="8"/>
  <c r="Y165" i="8"/>
  <c r="Z165" i="8"/>
  <c r="AB165" i="8"/>
  <c r="Z167" i="8"/>
  <c r="AB167" i="8"/>
  <c r="Y171" i="8"/>
  <c r="Z171" i="8"/>
  <c r="AB171" i="8"/>
  <c r="Y172" i="8"/>
  <c r="Z172" i="8"/>
  <c r="AB172" i="8"/>
  <c r="Y175" i="8"/>
  <c r="Z175" i="8"/>
  <c r="AB175" i="8"/>
  <c r="Y176" i="8"/>
  <c r="Y179" i="8"/>
  <c r="Y180" i="8"/>
  <c r="Z180" i="8"/>
  <c r="AB180" i="8"/>
  <c r="Y183" i="8"/>
  <c r="Z183" i="8"/>
  <c r="AB183" i="8"/>
  <c r="Y185" i="8"/>
  <c r="Z185" i="8"/>
  <c r="AB185" i="8"/>
  <c r="Y192" i="8"/>
  <c r="Z192" i="8"/>
  <c r="AB192" i="8"/>
  <c r="Y196" i="8"/>
  <c r="Z196" i="8"/>
  <c r="AB196" i="8"/>
  <c r="Y199" i="8"/>
  <c r="Y202" i="8"/>
  <c r="Z202" i="8"/>
  <c r="AB202" i="8"/>
  <c r="Y205" i="8"/>
  <c r="Z205" i="8"/>
  <c r="AB205" i="8"/>
  <c r="Y260" i="8"/>
  <c r="Y261" i="8"/>
  <c r="Z261" i="8"/>
  <c r="AB261" i="8"/>
  <c r="Y262" i="8"/>
  <c r="Z262" i="8"/>
  <c r="AB262" i="8"/>
  <c r="Y263" i="8"/>
  <c r="Y267" i="8"/>
  <c r="Z267" i="8"/>
  <c r="AB267" i="8"/>
  <c r="Y268" i="8"/>
  <c r="Z268" i="8"/>
  <c r="AB268" i="8"/>
  <c r="Y269" i="8"/>
  <c r="Y272" i="8"/>
  <c r="Z272" i="8"/>
  <c r="AB272" i="8"/>
  <c r="Y274" i="8"/>
  <c r="Z274" i="8"/>
  <c r="AB274" i="8"/>
  <c r="Y279" i="8"/>
  <c r="Z279" i="8"/>
  <c r="AB279" i="8"/>
  <c r="Y281" i="8"/>
  <c r="Z281" i="8"/>
  <c r="AB281" i="8"/>
  <c r="Y283" i="8"/>
  <c r="Z283" i="8"/>
  <c r="AB283" i="8"/>
  <c r="Y285" i="8"/>
  <c r="Z285" i="8"/>
  <c r="AB285" i="8"/>
  <c r="Y286" i="8"/>
  <c r="Z286" i="8"/>
  <c r="AB286" i="8"/>
  <c r="Y288" i="8"/>
  <c r="Z288" i="8"/>
  <c r="AB288" i="8"/>
  <c r="Y296" i="8"/>
  <c r="Z296" i="8"/>
  <c r="AB296" i="8"/>
  <c r="Y297" i="8"/>
  <c r="Z297" i="8"/>
  <c r="AB297" i="8"/>
  <c r="Y298" i="8"/>
  <c r="Z298" i="8"/>
  <c r="AB298" i="8"/>
  <c r="Y299" i="8"/>
  <c r="Z299" i="8"/>
  <c r="AB299" i="8"/>
  <c r="Y300" i="8"/>
  <c r="Z300" i="8"/>
  <c r="AB300" i="8"/>
  <c r="Y301" i="8"/>
  <c r="Y302" i="8"/>
  <c r="Y303" i="8"/>
  <c r="Y304" i="8"/>
  <c r="Y305" i="8"/>
  <c r="Z305" i="8"/>
  <c r="AB305" i="8"/>
  <c r="Y306" i="8"/>
  <c r="Z306" i="8"/>
  <c r="AB306" i="8"/>
  <c r="Y307" i="8"/>
  <c r="Z307" i="8"/>
  <c r="AB307" i="8"/>
  <c r="Y308" i="8"/>
  <c r="Z308" i="8"/>
  <c r="AB308" i="8"/>
  <c r="Y309" i="8"/>
  <c r="Z309" i="8"/>
  <c r="AB309" i="8"/>
  <c r="Y313" i="8"/>
  <c r="Z313" i="8"/>
  <c r="AB313" i="8"/>
  <c r="Y314" i="8"/>
  <c r="Z314" i="8"/>
  <c r="AB314" i="8"/>
  <c r="Y315" i="8"/>
  <c r="Z315" i="8"/>
  <c r="AB315" i="8"/>
  <c r="Y316" i="8"/>
  <c r="Z316" i="8"/>
  <c r="AB316" i="8"/>
  <c r="Y317" i="8"/>
  <c r="Z317" i="8"/>
  <c r="AB317" i="8"/>
  <c r="Y318" i="8"/>
  <c r="Z318" i="8"/>
  <c r="AB318" i="8"/>
  <c r="Y319" i="8"/>
  <c r="Z319" i="8"/>
  <c r="AB319" i="8"/>
  <c r="Y320" i="8"/>
  <c r="Z320" i="8"/>
  <c r="AB320" i="8"/>
  <c r="Y324" i="8"/>
  <c r="Z324" i="8"/>
  <c r="AB324" i="8"/>
  <c r="Y325" i="8"/>
  <c r="Z325" i="8"/>
  <c r="AB325" i="8"/>
  <c r="Y326" i="8"/>
  <c r="Z326" i="8"/>
  <c r="AB326" i="8"/>
  <c r="Y327" i="8"/>
  <c r="Z327" i="8"/>
  <c r="AB327" i="8"/>
  <c r="Y328" i="8"/>
  <c r="Z328" i="8"/>
  <c r="AB328" i="8"/>
  <c r="Z263" i="8" l="1"/>
  <c r="AB263" i="8"/>
  <c r="Z257" i="8"/>
  <c r="AB257" i="8"/>
  <c r="X53" i="8"/>
  <c r="X45" i="8"/>
  <c r="Y45" i="8" s="1"/>
  <c r="X72" i="8"/>
  <c r="W38" i="8"/>
  <c r="W53" i="8"/>
  <c r="W72" i="8"/>
  <c r="Q105" i="8"/>
  <c r="Z72" i="8" l="1"/>
  <c r="Y72" i="8"/>
  <c r="AB72" i="8"/>
  <c r="Z53" i="8"/>
  <c r="AB53" i="8"/>
  <c r="Y53" i="8"/>
  <c r="Z105" i="8"/>
  <c r="AB105" i="8"/>
  <c r="X224" i="8" l="1"/>
  <c r="Y224" i="8" s="1"/>
  <c r="W224" i="8"/>
  <c r="X295" i="8" l="1"/>
  <c r="Y295" i="8" s="1"/>
  <c r="X294" i="8"/>
  <c r="Y294" i="8" s="1"/>
  <c r="W295" i="8"/>
  <c r="W294" i="8"/>
  <c r="AA61" i="8" l="1"/>
  <c r="AA60" i="8" s="1"/>
  <c r="X61" i="8"/>
  <c r="X60" i="8" s="1"/>
  <c r="W61" i="8"/>
  <c r="W60" i="8"/>
  <c r="S61" i="8"/>
  <c r="S60" i="8" s="1"/>
  <c r="R61" i="8"/>
  <c r="R60" i="8" s="1"/>
  <c r="AA104" i="8"/>
  <c r="AA103" i="8" s="1"/>
  <c r="AC103" i="8" s="1"/>
  <c r="X104" i="8"/>
  <c r="X103" i="8" s="1"/>
  <c r="W104" i="8"/>
  <c r="W103" i="8" s="1"/>
  <c r="Q66" i="8"/>
  <c r="AA312" i="8"/>
  <c r="AA311" i="8" s="1"/>
  <c r="R311" i="8"/>
  <c r="AA293" i="8"/>
  <c r="AA292" i="8" s="1"/>
  <c r="X293" i="8"/>
  <c r="X292" i="8" s="1"/>
  <c r="W293" i="8"/>
  <c r="W292" i="8" s="1"/>
  <c r="S293" i="8"/>
  <c r="S292" i="8" s="1"/>
  <c r="R292" i="8"/>
  <c r="AB287" i="8"/>
  <c r="Y287" i="8"/>
  <c r="Z287" i="8"/>
  <c r="AA287" i="8"/>
  <c r="X287" i="8"/>
  <c r="W287" i="8"/>
  <c r="S287" i="8"/>
  <c r="R287" i="8"/>
  <c r="AB284" i="8"/>
  <c r="Y284" i="8"/>
  <c r="Z284" i="8"/>
  <c r="AA284" i="8"/>
  <c r="X284" i="8"/>
  <c r="W284" i="8"/>
  <c r="S284" i="8"/>
  <c r="R284" i="8"/>
  <c r="AB282" i="8"/>
  <c r="Y282" i="8"/>
  <c r="Z282" i="8"/>
  <c r="AA282" i="8"/>
  <c r="X282" i="8"/>
  <c r="W282" i="8"/>
  <c r="S282" i="8"/>
  <c r="R282" i="8"/>
  <c r="AB280" i="8"/>
  <c r="Y280" i="8"/>
  <c r="Z280" i="8"/>
  <c r="AA280" i="8"/>
  <c r="X280" i="8"/>
  <c r="W280" i="8"/>
  <c r="S280" i="8"/>
  <c r="R280" i="8"/>
  <c r="AB278" i="8"/>
  <c r="AB277" i="8" s="1"/>
  <c r="AB276" i="8" s="1"/>
  <c r="Y278" i="8"/>
  <c r="Z278" i="8"/>
  <c r="Z277" i="8" s="1"/>
  <c r="Z276" i="8" s="1"/>
  <c r="AA278" i="8"/>
  <c r="X278" i="8"/>
  <c r="W278" i="8"/>
  <c r="S278" i="8"/>
  <c r="R278" i="8"/>
  <c r="Y273" i="8"/>
  <c r="Z273" i="8"/>
  <c r="AA273" i="8"/>
  <c r="X273" i="8"/>
  <c r="W273" i="8"/>
  <c r="S273" i="8"/>
  <c r="R273" i="8"/>
  <c r="AA271" i="8"/>
  <c r="X271" i="8"/>
  <c r="W271" i="8"/>
  <c r="S271" i="8"/>
  <c r="R271" i="8"/>
  <c r="AA266" i="8"/>
  <c r="AA265" i="8" s="1"/>
  <c r="AA264" i="8" s="1"/>
  <c r="X266" i="8"/>
  <c r="X265" i="8" s="1"/>
  <c r="X264" i="8" s="1"/>
  <c r="W266" i="8"/>
  <c r="W265" i="8" s="1"/>
  <c r="W264" i="8" s="1"/>
  <c r="S266" i="8"/>
  <c r="S265" i="8" s="1"/>
  <c r="S264" i="8" s="1"/>
  <c r="R266" i="8"/>
  <c r="R265" i="8" s="1"/>
  <c r="R264" i="8" s="1"/>
  <c r="AA259" i="8"/>
  <c r="X259" i="8"/>
  <c r="W259" i="8"/>
  <c r="R259" i="8"/>
  <c r="AA255" i="8"/>
  <c r="AA254" i="8" s="1"/>
  <c r="X255" i="8"/>
  <c r="W255" i="8"/>
  <c r="S255" i="8"/>
  <c r="R255" i="8"/>
  <c r="AA250" i="8"/>
  <c r="AA249" i="8" s="1"/>
  <c r="AA248" i="8" s="1"/>
  <c r="X250" i="8"/>
  <c r="X249" i="8" s="1"/>
  <c r="X248" i="8" s="1"/>
  <c r="W250" i="8"/>
  <c r="W249" i="8" s="1"/>
  <c r="W248" i="8" s="1"/>
  <c r="S250" i="8"/>
  <c r="S249" i="8" s="1"/>
  <c r="S248" i="8" s="1"/>
  <c r="R250" i="8"/>
  <c r="R249" i="8" s="1"/>
  <c r="R248" i="8" s="1"/>
  <c r="AA245" i="8"/>
  <c r="AA244" i="8" s="1"/>
  <c r="AA243" i="8" s="1"/>
  <c r="X245" i="8"/>
  <c r="X244" i="8" s="1"/>
  <c r="X243" i="8" s="1"/>
  <c r="W245" i="8"/>
  <c r="W244" i="8" s="1"/>
  <c r="W243" i="8" s="1"/>
  <c r="S245" i="8"/>
  <c r="S244" i="8" s="1"/>
  <c r="S243" i="8" s="1"/>
  <c r="R245" i="8"/>
  <c r="R244" i="8" s="1"/>
  <c r="R243" i="8" s="1"/>
  <c r="AA241" i="8"/>
  <c r="AA240" i="8" s="1"/>
  <c r="AA239" i="8" s="1"/>
  <c r="X241" i="8"/>
  <c r="X240" i="8" s="1"/>
  <c r="X239" i="8" s="1"/>
  <c r="W241" i="8"/>
  <c r="W240" i="8" s="1"/>
  <c r="W239" i="8" s="1"/>
  <c r="S241" i="8"/>
  <c r="S240" i="8" s="1"/>
  <c r="S239" i="8" s="1"/>
  <c r="R241" i="8"/>
  <c r="R240" i="8" s="1"/>
  <c r="R239" i="8" s="1"/>
  <c r="AA234" i="8"/>
  <c r="X234" i="8"/>
  <c r="W234" i="8"/>
  <c r="S234" i="8"/>
  <c r="R234" i="8"/>
  <c r="AA231" i="8"/>
  <c r="X231" i="8"/>
  <c r="W231" i="8"/>
  <c r="S231" i="8"/>
  <c r="R231" i="8"/>
  <c r="AA215" i="8"/>
  <c r="S215" i="8"/>
  <c r="R215" i="8"/>
  <c r="AA210" i="8"/>
  <c r="AA209" i="8" s="1"/>
  <c r="X210" i="8"/>
  <c r="X209" i="8" s="1"/>
  <c r="W210" i="8"/>
  <c r="W209" i="8" s="1"/>
  <c r="S210" i="8"/>
  <c r="S209" i="8" s="1"/>
  <c r="R210" i="8"/>
  <c r="R209" i="8" s="1"/>
  <c r="AA207" i="8"/>
  <c r="X207" i="8"/>
  <c r="W207" i="8"/>
  <c r="S207" i="8"/>
  <c r="R207" i="8"/>
  <c r="AA204" i="8"/>
  <c r="X204" i="8"/>
  <c r="W204" i="8"/>
  <c r="S204" i="8"/>
  <c r="R204" i="8"/>
  <c r="AA201" i="8"/>
  <c r="AA200" i="8" s="1"/>
  <c r="X201" i="8"/>
  <c r="X200" i="8" s="1"/>
  <c r="W201" i="8"/>
  <c r="W200" i="8" s="1"/>
  <c r="S201" i="8"/>
  <c r="S200" i="8" s="1"/>
  <c r="R201" i="8"/>
  <c r="R200" i="8" s="1"/>
  <c r="AA198" i="8"/>
  <c r="AA197" i="8" s="1"/>
  <c r="X198" i="8"/>
  <c r="X197" i="8" s="1"/>
  <c r="W198" i="8"/>
  <c r="W197" i="8" s="1"/>
  <c r="S198" i="8"/>
  <c r="S197" i="8" s="1"/>
  <c r="R198" i="8"/>
  <c r="R197" i="8" s="1"/>
  <c r="AA195" i="8"/>
  <c r="AA194" i="8" s="1"/>
  <c r="X195" i="8"/>
  <c r="X194" i="8" s="1"/>
  <c r="W195" i="8"/>
  <c r="W194" i="8" s="1"/>
  <c r="S195" i="8"/>
  <c r="S194" i="8" s="1"/>
  <c r="R195" i="8"/>
  <c r="R194" i="8" s="1"/>
  <c r="AA191" i="8"/>
  <c r="AA190" i="8" s="1"/>
  <c r="AA189" i="8" s="1"/>
  <c r="X191" i="8"/>
  <c r="X190" i="8" s="1"/>
  <c r="X189" i="8" s="1"/>
  <c r="W191" i="8"/>
  <c r="W190" i="8" s="1"/>
  <c r="W189" i="8" s="1"/>
  <c r="S191" i="8"/>
  <c r="S190" i="8" s="1"/>
  <c r="S189" i="8" s="1"/>
  <c r="R191" i="8"/>
  <c r="R190" i="8" s="1"/>
  <c r="R189" i="8" s="1"/>
  <c r="AA184" i="8"/>
  <c r="X184" i="8"/>
  <c r="W184" i="8"/>
  <c r="V184" i="8"/>
  <c r="U184" i="8"/>
  <c r="S184" i="8"/>
  <c r="R184" i="8"/>
  <c r="AA182" i="8"/>
  <c r="AA181" i="8" s="1"/>
  <c r="X182" i="8"/>
  <c r="X181" i="8" s="1"/>
  <c r="W182" i="8"/>
  <c r="W181" i="8" s="1"/>
  <c r="S182" i="8"/>
  <c r="S181" i="8" s="1"/>
  <c r="R182" i="8"/>
  <c r="R181" i="8" s="1"/>
  <c r="AA178" i="8"/>
  <c r="AA177" i="8" s="1"/>
  <c r="X178" i="8"/>
  <c r="X177" i="8" s="1"/>
  <c r="W178" i="8"/>
  <c r="W177" i="8" s="1"/>
  <c r="S178" i="8"/>
  <c r="S177" i="8" s="1"/>
  <c r="R178" i="8"/>
  <c r="R177" i="8" s="1"/>
  <c r="AA174" i="8"/>
  <c r="AA173" i="8" s="1"/>
  <c r="X174" i="8"/>
  <c r="X173" i="8" s="1"/>
  <c r="W174" i="8"/>
  <c r="W173" i="8" s="1"/>
  <c r="S174" i="8"/>
  <c r="S173" i="8" s="1"/>
  <c r="R174" i="8"/>
  <c r="R173" i="8" s="1"/>
  <c r="AA170" i="8"/>
  <c r="AA169" i="8" s="1"/>
  <c r="X170" i="8"/>
  <c r="X169" i="8" s="1"/>
  <c r="W170" i="8"/>
  <c r="W169" i="8" s="1"/>
  <c r="S170" i="8"/>
  <c r="S169" i="8" s="1"/>
  <c r="R170" i="8"/>
  <c r="R169" i="8" s="1"/>
  <c r="AA161" i="8"/>
  <c r="W161" i="8"/>
  <c r="S161" i="8"/>
  <c r="R161" i="8"/>
  <c r="AA156" i="8"/>
  <c r="S156" i="8"/>
  <c r="R156" i="8"/>
  <c r="AA154" i="8"/>
  <c r="X154" i="8"/>
  <c r="W154" i="8"/>
  <c r="S154" i="8"/>
  <c r="R154" i="8"/>
  <c r="AA149" i="8"/>
  <c r="X149" i="8"/>
  <c r="W149" i="8"/>
  <c r="S149" i="8"/>
  <c r="R149" i="8"/>
  <c r="AA145" i="8"/>
  <c r="X145" i="8"/>
  <c r="W145" i="8"/>
  <c r="S145" i="8"/>
  <c r="R145" i="8"/>
  <c r="Q145" i="8"/>
  <c r="AA133" i="8"/>
  <c r="X133" i="8"/>
  <c r="W133" i="8"/>
  <c r="S133" i="8"/>
  <c r="R133" i="8"/>
  <c r="AA131" i="8"/>
  <c r="X131" i="8"/>
  <c r="W131" i="8"/>
  <c r="S131" i="8"/>
  <c r="R131" i="8"/>
  <c r="AA122" i="8"/>
  <c r="X122" i="8"/>
  <c r="W122" i="8"/>
  <c r="S122" i="8"/>
  <c r="R122" i="8"/>
  <c r="AA117" i="8"/>
  <c r="AA116" i="8" s="1"/>
  <c r="X117" i="8"/>
  <c r="X116" i="8" s="1"/>
  <c r="W117" i="8"/>
  <c r="W116" i="8" s="1"/>
  <c r="S117" i="8"/>
  <c r="S116" i="8" s="1"/>
  <c r="R117" i="8"/>
  <c r="R116" i="8" s="1"/>
  <c r="AA113" i="8"/>
  <c r="X113" i="8"/>
  <c r="W113" i="8"/>
  <c r="S113" i="8"/>
  <c r="R113" i="8"/>
  <c r="AA111" i="8"/>
  <c r="X111" i="8"/>
  <c r="W111" i="8"/>
  <c r="S111" i="8"/>
  <c r="R111" i="8"/>
  <c r="AA100" i="8"/>
  <c r="AC100" i="8" s="1"/>
  <c r="X100" i="8"/>
  <c r="W100" i="8"/>
  <c r="S100" i="8"/>
  <c r="R100" i="8"/>
  <c r="AA96" i="8"/>
  <c r="AC96" i="8" s="1"/>
  <c r="X96" i="8"/>
  <c r="W96" i="8"/>
  <c r="S96" i="8"/>
  <c r="R96" i="8"/>
  <c r="AA92" i="8"/>
  <c r="X92" i="8"/>
  <c r="W92" i="8"/>
  <c r="S92" i="8"/>
  <c r="R92" i="8"/>
  <c r="AA90" i="8"/>
  <c r="X90" i="8"/>
  <c r="W90" i="8"/>
  <c r="S90" i="8"/>
  <c r="R90" i="8"/>
  <c r="AA83" i="8"/>
  <c r="AA82" i="8" s="1"/>
  <c r="X83" i="8"/>
  <c r="X82" i="8" s="1"/>
  <c r="W83" i="8"/>
  <c r="W82" i="8" s="1"/>
  <c r="S83" i="8"/>
  <c r="S82" i="8" s="1"/>
  <c r="R83" i="8"/>
  <c r="R82" i="8" s="1"/>
  <c r="AA80" i="8"/>
  <c r="AA79" i="8" s="1"/>
  <c r="X80" i="8"/>
  <c r="X79" i="8" s="1"/>
  <c r="W80" i="8"/>
  <c r="W79" i="8" s="1"/>
  <c r="S80" i="8"/>
  <c r="S79" i="8" s="1"/>
  <c r="R80" i="8"/>
  <c r="R79" i="8" s="1"/>
  <c r="AA77" i="8"/>
  <c r="AA76" i="8" s="1"/>
  <c r="X77" i="8"/>
  <c r="X76" i="8" s="1"/>
  <c r="W77" i="8"/>
  <c r="W76" i="8" s="1"/>
  <c r="S77" i="8"/>
  <c r="S76" i="8" s="1"/>
  <c r="R77" i="8"/>
  <c r="R76" i="8" s="1"/>
  <c r="AA74" i="8"/>
  <c r="X74" i="8"/>
  <c r="W74" i="8"/>
  <c r="S74" i="8"/>
  <c r="R74" i="8"/>
  <c r="AA71" i="8"/>
  <c r="AA70" i="8" s="1"/>
  <c r="X71" i="8"/>
  <c r="X70" i="8" s="1"/>
  <c r="W71" i="8"/>
  <c r="W70" i="8" s="1"/>
  <c r="S71" i="8"/>
  <c r="S70" i="8" s="1"/>
  <c r="R71" i="8"/>
  <c r="R70" i="8" s="1"/>
  <c r="AA68" i="8"/>
  <c r="X68" i="8"/>
  <c r="W68" i="8"/>
  <c r="S68" i="8"/>
  <c r="R68" i="8"/>
  <c r="AA66" i="8"/>
  <c r="X66" i="8"/>
  <c r="W66" i="8"/>
  <c r="S66" i="8"/>
  <c r="R66" i="8"/>
  <c r="AA64" i="8"/>
  <c r="X64" i="8"/>
  <c r="W64" i="8"/>
  <c r="S64" i="8"/>
  <c r="R64" i="8"/>
  <c r="AA58" i="8"/>
  <c r="X58" i="8"/>
  <c r="W58" i="8"/>
  <c r="S58" i="8"/>
  <c r="R58" i="8"/>
  <c r="AA56" i="8"/>
  <c r="X56" i="8"/>
  <c r="W56" i="8"/>
  <c r="S56" i="8"/>
  <c r="R56" i="8"/>
  <c r="AA52" i="8"/>
  <c r="X52" i="8"/>
  <c r="W52" i="8"/>
  <c r="S52" i="8"/>
  <c r="R52" i="8"/>
  <c r="AA49" i="8"/>
  <c r="X49" i="8"/>
  <c r="W49" i="8"/>
  <c r="S49" i="8"/>
  <c r="R49" i="8"/>
  <c r="AA44" i="8"/>
  <c r="X44" i="8"/>
  <c r="W44" i="8"/>
  <c r="S44" i="8"/>
  <c r="R44" i="8"/>
  <c r="AA41" i="8"/>
  <c r="X41" i="8"/>
  <c r="W41" i="8"/>
  <c r="S41" i="8"/>
  <c r="R41" i="8"/>
  <c r="Y39" i="8"/>
  <c r="AA39" i="8"/>
  <c r="X39" i="8"/>
  <c r="S39" i="8"/>
  <c r="R39" i="8"/>
  <c r="AA37" i="8"/>
  <c r="X37" i="8"/>
  <c r="W37" i="8"/>
  <c r="S37" i="8"/>
  <c r="R37" i="8"/>
  <c r="AA33" i="8"/>
  <c r="AA32" i="8" s="1"/>
  <c r="AA31" i="8" s="1"/>
  <c r="X33" i="8"/>
  <c r="X32" i="8" s="1"/>
  <c r="X31" i="8" s="1"/>
  <c r="W33" i="8"/>
  <c r="W32" i="8" s="1"/>
  <c r="W31" i="8" s="1"/>
  <c r="S33" i="8"/>
  <c r="S32" i="8" s="1"/>
  <c r="S31" i="8" s="1"/>
  <c r="R33" i="8"/>
  <c r="R32" i="8" s="1"/>
  <c r="R31" i="8" s="1"/>
  <c r="AA18" i="8"/>
  <c r="AA17" i="8" s="1"/>
  <c r="X18" i="8"/>
  <c r="X17" i="8" s="1"/>
  <c r="W18" i="8"/>
  <c r="W17" i="8" s="1"/>
  <c r="AA21" i="8"/>
  <c r="AA20" i="8" s="1"/>
  <c r="X21" i="8"/>
  <c r="X20" i="8" s="1"/>
  <c r="W21" i="8"/>
  <c r="W20" i="8" s="1"/>
  <c r="AA27" i="8"/>
  <c r="AA26" i="8" s="1"/>
  <c r="AA25" i="8" s="1"/>
  <c r="AA24" i="8" s="1"/>
  <c r="AA23" i="8" s="1"/>
  <c r="X27" i="8"/>
  <c r="X26" i="8" s="1"/>
  <c r="X25" i="8" s="1"/>
  <c r="X24" i="8" s="1"/>
  <c r="X23" i="8" s="1"/>
  <c r="W27" i="8"/>
  <c r="W26" i="8" s="1"/>
  <c r="W25" i="8" s="1"/>
  <c r="W24" i="8" s="1"/>
  <c r="W23" i="8" s="1"/>
  <c r="S27" i="8"/>
  <c r="S26" i="8" s="1"/>
  <c r="S25" i="8" s="1"/>
  <c r="S24" i="8" s="1"/>
  <c r="S23" i="8" s="1"/>
  <c r="R27" i="8"/>
  <c r="R26" i="8" s="1"/>
  <c r="R25" i="8" s="1"/>
  <c r="R24" i="8" s="1"/>
  <c r="R23" i="8" s="1"/>
  <c r="Q27" i="8"/>
  <c r="AA12" i="8"/>
  <c r="AA11" i="8" s="1"/>
  <c r="AB21" i="8"/>
  <c r="AB20" i="8" s="1"/>
  <c r="Z21" i="8"/>
  <c r="Z20" i="8" s="1"/>
  <c r="AB18" i="8"/>
  <c r="AB17" i="8" s="1"/>
  <c r="Y18" i="8"/>
  <c r="Y17" i="8" s="1"/>
  <c r="Z18" i="8"/>
  <c r="Z17" i="8" s="1"/>
  <c r="X12" i="8"/>
  <c r="X11" i="8" s="1"/>
  <c r="W12" i="8"/>
  <c r="W11" i="8" s="1"/>
  <c r="S21" i="8"/>
  <c r="S20" i="8" s="1"/>
  <c r="R21" i="8"/>
  <c r="R20" i="8" s="1"/>
  <c r="R18" i="8"/>
  <c r="R17" i="8" s="1"/>
  <c r="S18" i="8"/>
  <c r="S17" i="8" s="1"/>
  <c r="S12" i="8"/>
  <c r="S11" i="8" s="1"/>
  <c r="R12" i="8"/>
  <c r="R11" i="8" s="1"/>
  <c r="X277" i="8" l="1"/>
  <c r="X276" i="8" s="1"/>
  <c r="X275" i="8" s="1"/>
  <c r="X254" i="8"/>
  <c r="Z275" i="8"/>
  <c r="Q26" i="8"/>
  <c r="AA89" i="8"/>
  <c r="AA73" i="8" s="1"/>
  <c r="AA277" i="8"/>
  <c r="AA276" i="8" s="1"/>
  <c r="AA275" i="8" s="1"/>
  <c r="S89" i="8"/>
  <c r="S73" i="8" s="1"/>
  <c r="AA153" i="8"/>
  <c r="AA152" i="8" s="1"/>
  <c r="AC152" i="8" s="1"/>
  <c r="W254" i="8"/>
  <c r="W247" i="8" s="1"/>
  <c r="Y277" i="8"/>
  <c r="Y276" i="8" s="1"/>
  <c r="Y275" i="8" s="1"/>
  <c r="W277" i="8"/>
  <c r="W276" i="8" s="1"/>
  <c r="W275" i="8" s="1"/>
  <c r="W63" i="8"/>
  <c r="X36" i="8"/>
  <c r="X35" i="8" s="1"/>
  <c r="W48" i="8"/>
  <c r="X63" i="8"/>
  <c r="AA203" i="8"/>
  <c r="AA193" i="8" s="1"/>
  <c r="AA188" i="8" s="1"/>
  <c r="R63" i="8"/>
  <c r="AA63" i="8"/>
  <c r="S63" i="8"/>
  <c r="X89" i="8"/>
  <c r="X73" i="8" s="1"/>
  <c r="X110" i="8"/>
  <c r="X109" i="8" s="1"/>
  <c r="X108" i="8" s="1"/>
  <c r="X107" i="8" s="1"/>
  <c r="R144" i="8"/>
  <c r="AA144" i="8"/>
  <c r="AA270" i="8"/>
  <c r="R36" i="8"/>
  <c r="R35" i="8" s="1"/>
  <c r="AA55" i="8"/>
  <c r="W121" i="8"/>
  <c r="W120" i="8" s="1"/>
  <c r="AA121" i="8"/>
  <c r="AA120" i="8" s="1"/>
  <c r="AA36" i="8"/>
  <c r="AA35" i="8" s="1"/>
  <c r="AB275" i="8"/>
  <c r="X55" i="8"/>
  <c r="AA95" i="8"/>
  <c r="X121" i="8"/>
  <c r="X120" i="8" s="1"/>
  <c r="R89" i="8"/>
  <c r="R73" i="8" s="1"/>
  <c r="W95" i="8"/>
  <c r="AA110" i="8"/>
  <c r="AA109" i="8" s="1"/>
  <c r="AA108" i="8" s="1"/>
  <c r="AA107" i="8" s="1"/>
  <c r="X270" i="8"/>
  <c r="S121" i="8"/>
  <c r="S120" i="8" s="1"/>
  <c r="S36" i="8"/>
  <c r="S35" i="8" s="1"/>
  <c r="W89" i="8"/>
  <c r="W73" i="8" s="1"/>
  <c r="X95" i="8"/>
  <c r="R203" i="8"/>
  <c r="R193" i="8" s="1"/>
  <c r="R188" i="8" s="1"/>
  <c r="R214" i="8"/>
  <c r="R213" i="8" s="1"/>
  <c r="W270" i="8"/>
  <c r="AA48" i="8"/>
  <c r="AC48" i="8" s="1"/>
  <c r="X48" i="8"/>
  <c r="W144" i="8"/>
  <c r="AA214" i="8"/>
  <c r="AA213" i="8" s="1"/>
  <c r="R121" i="8"/>
  <c r="R120" i="8" s="1"/>
  <c r="R254" i="8"/>
  <c r="R247" i="8" s="1"/>
  <c r="AA291" i="8"/>
  <c r="AA290" i="8" s="1"/>
  <c r="AA289" i="8" s="1"/>
  <c r="V290" i="8" s="1"/>
  <c r="W110" i="8"/>
  <c r="W109" i="8" s="1"/>
  <c r="W108" i="8" s="1"/>
  <c r="W107" i="8" s="1"/>
  <c r="W55" i="8"/>
  <c r="R48" i="8"/>
  <c r="S48" i="8"/>
  <c r="R291" i="8"/>
  <c r="R290" i="8" s="1"/>
  <c r="R289" i="8" s="1"/>
  <c r="R277" i="8"/>
  <c r="R276" i="8" s="1"/>
  <c r="R275" i="8" s="1"/>
  <c r="S277" i="8"/>
  <c r="S276" i="8" s="1"/>
  <c r="S275" i="8" s="1"/>
  <c r="R270" i="8"/>
  <c r="S270" i="8"/>
  <c r="AA247" i="8"/>
  <c r="X247" i="8"/>
  <c r="W238" i="8"/>
  <c r="X238" i="8"/>
  <c r="AA238" i="8"/>
  <c r="R238" i="8"/>
  <c r="S238" i="8"/>
  <c r="S214" i="8"/>
  <c r="S213" i="8" s="1"/>
  <c r="X203" i="8"/>
  <c r="X193" i="8" s="1"/>
  <c r="X188" i="8" s="1"/>
  <c r="W203" i="8"/>
  <c r="W193" i="8" s="1"/>
  <c r="W188" i="8" s="1"/>
  <c r="S203" i="8"/>
  <c r="S193" i="8" s="1"/>
  <c r="S188" i="8" s="1"/>
  <c r="X168" i="8"/>
  <c r="AA168" i="8"/>
  <c r="W168" i="8"/>
  <c r="S168" i="8"/>
  <c r="R168" i="8"/>
  <c r="R153" i="8"/>
  <c r="R152" i="8" s="1"/>
  <c r="S153" i="8"/>
  <c r="S152" i="8" s="1"/>
  <c r="X144" i="8"/>
  <c r="S144" i="8"/>
  <c r="R110" i="8"/>
  <c r="R109" i="8" s="1"/>
  <c r="R108" i="8" s="1"/>
  <c r="R107" i="8" s="1"/>
  <c r="S110" i="8"/>
  <c r="S109" i="8" s="1"/>
  <c r="S108" i="8" s="1"/>
  <c r="S107" i="8" s="1"/>
  <c r="R55" i="8"/>
  <c r="S55" i="8"/>
  <c r="Y21" i="8"/>
  <c r="Y20" i="8" s="1"/>
  <c r="Y12" i="8"/>
  <c r="Y11" i="8" s="1"/>
  <c r="X10" i="8"/>
  <c r="X9" i="8" s="1"/>
  <c r="X8" i="8" s="1"/>
  <c r="AA10" i="8"/>
  <c r="AA9" i="8" s="1"/>
  <c r="AA8" i="8" s="1"/>
  <c r="W10" i="8"/>
  <c r="W9" i="8" s="1"/>
  <c r="W8" i="8" s="1"/>
  <c r="AB12" i="8"/>
  <c r="AB11" i="8" s="1"/>
  <c r="AB10" i="8" s="1"/>
  <c r="R10" i="8"/>
  <c r="R9" i="8" s="1"/>
  <c r="R8" i="8" s="1"/>
  <c r="S10" i="8"/>
  <c r="S9" i="8" s="1"/>
  <c r="S8" i="8" s="1"/>
  <c r="Q25" i="8" l="1"/>
  <c r="AA115" i="8"/>
  <c r="AA47" i="8"/>
  <c r="W47" i="8"/>
  <c r="R115" i="8"/>
  <c r="R212" i="8"/>
  <c r="R187" i="8" s="1"/>
  <c r="R186" i="8" s="1"/>
  <c r="X47" i="8"/>
  <c r="X30" i="8" s="1"/>
  <c r="AA212" i="8"/>
  <c r="Y10" i="8"/>
  <c r="S115" i="8"/>
  <c r="S47" i="8"/>
  <c r="S30" i="8" s="1"/>
  <c r="R47" i="8"/>
  <c r="R30" i="8" s="1"/>
  <c r="AB273" i="8"/>
  <c r="AB271" i="8"/>
  <c r="AB210" i="8"/>
  <c r="AB209" i="8" s="1"/>
  <c r="AB207" i="8"/>
  <c r="AB201" i="8"/>
  <c r="AB200" i="8" s="1"/>
  <c r="AB191" i="8"/>
  <c r="AB190" i="8" s="1"/>
  <c r="AB189" i="8" s="1"/>
  <c r="AB184" i="8"/>
  <c r="AB182" i="8"/>
  <c r="AB181" i="8" s="1"/>
  <c r="AB154" i="8"/>
  <c r="AB131" i="8"/>
  <c r="AB113" i="8"/>
  <c r="AB111" i="8"/>
  <c r="AB92" i="8"/>
  <c r="AB90" i="8"/>
  <c r="AB80" i="8"/>
  <c r="AB79" i="8" s="1"/>
  <c r="AB77" i="8"/>
  <c r="AB76" i="8" s="1"/>
  <c r="AB74" i="8"/>
  <c r="AB71" i="8"/>
  <c r="AB70" i="8" s="1"/>
  <c r="AB66" i="8"/>
  <c r="AB64" i="8"/>
  <c r="AB37" i="8"/>
  <c r="AB27" i="8"/>
  <c r="AB26" i="8" s="1"/>
  <c r="AB25" i="8" s="1"/>
  <c r="AB24" i="8" s="1"/>
  <c r="AB23" i="8" s="1"/>
  <c r="AB9" i="8" s="1"/>
  <c r="AB8" i="8" s="1"/>
  <c r="Y37" i="8"/>
  <c r="Y36" i="8" s="1"/>
  <c r="Q45" i="8"/>
  <c r="Q126" i="8"/>
  <c r="Q176" i="8"/>
  <c r="Z226" i="8" l="1"/>
  <c r="AB226" i="8"/>
  <c r="Z224" i="8"/>
  <c r="AB224" i="8"/>
  <c r="Z176" i="8"/>
  <c r="AB176" i="8"/>
  <c r="AB45" i="8"/>
  <c r="Z45" i="8"/>
  <c r="AB126" i="8"/>
  <c r="Z126" i="8"/>
  <c r="Q24" i="8"/>
  <c r="AA30" i="8"/>
  <c r="AC47" i="8"/>
  <c r="AA94" i="8"/>
  <c r="AC94" i="8" s="1"/>
  <c r="AC115" i="8"/>
  <c r="AA187" i="8"/>
  <c r="AA186" i="8" s="1"/>
  <c r="AC212" i="8"/>
  <c r="AB110" i="8"/>
  <c r="AB109" i="8" s="1"/>
  <c r="AB108" i="8" s="1"/>
  <c r="AB107" i="8" s="1"/>
  <c r="AB270" i="8"/>
  <c r="AB89" i="8"/>
  <c r="AB204" i="8"/>
  <c r="AB203" i="8" s="1"/>
  <c r="AB312" i="8"/>
  <c r="AB311" i="8" s="1"/>
  <c r="AB170" i="8"/>
  <c r="AB169" i="8" s="1"/>
  <c r="Q23" i="8" l="1"/>
  <c r="AA29" i="8"/>
  <c r="Z216" i="8" l="1"/>
  <c r="AB216" i="8"/>
  <c r="Z221" i="8"/>
  <c r="AB221" i="8"/>
  <c r="AA7" i="8"/>
  <c r="Q207" i="8"/>
  <c r="Q256" i="8" l="1"/>
  <c r="Q255" i="8" s="1"/>
  <c r="S259" i="8"/>
  <c r="S254" i="8" s="1"/>
  <c r="S247" i="8" s="1"/>
  <c r="S212" i="8" s="1"/>
  <c r="S187" i="8" s="1"/>
  <c r="S186" i="8" s="1"/>
  <c r="X164" i="8"/>
  <c r="Y164" i="8" s="1"/>
  <c r="X157" i="8"/>
  <c r="W157" i="8"/>
  <c r="W156" i="8" s="1"/>
  <c r="W153" i="8" s="1"/>
  <c r="W152" i="8" s="1"/>
  <c r="W115" i="8" s="1"/>
  <c r="W94" i="8" s="1"/>
  <c r="W215" i="8"/>
  <c r="W214" i="8" s="1"/>
  <c r="W213" i="8" s="1"/>
  <c r="W212" i="8" s="1"/>
  <c r="W187" i="8" s="1"/>
  <c r="W186" i="8" s="1"/>
  <c r="X215" i="8"/>
  <c r="X214" i="8" s="1"/>
  <c r="X213" i="8" s="1"/>
  <c r="X212" i="8" s="1"/>
  <c r="X187" i="8" s="1"/>
  <c r="X186" i="8" s="1"/>
  <c r="AB157" i="8" l="1"/>
  <c r="Y157" i="8"/>
  <c r="Z157" i="8"/>
  <c r="Z256" i="8"/>
  <c r="AB256" i="8"/>
  <c r="X161" i="8"/>
  <c r="X156" i="8"/>
  <c r="AB156" i="8"/>
  <c r="Q204" i="8"/>
  <c r="Q199" i="8"/>
  <c r="X153" i="8" l="1"/>
  <c r="X152" i="8" s="1"/>
  <c r="X115" i="8" s="1"/>
  <c r="X94" i="8" s="1"/>
  <c r="X29" i="8" s="1"/>
  <c r="X7" i="8" s="1"/>
  <c r="AB199" i="8"/>
  <c r="Z199" i="8"/>
  <c r="Q198" i="8"/>
  <c r="Q197" i="8" s="1"/>
  <c r="AB198" i="8"/>
  <c r="AB197" i="8" s="1"/>
  <c r="Q203" i="8"/>
  <c r="Q195" i="8"/>
  <c r="Y207" i="8"/>
  <c r="Z207" i="8"/>
  <c r="V207" i="8"/>
  <c r="U207" i="8"/>
  <c r="Q194" i="8" l="1"/>
  <c r="Z223" i="8" l="1"/>
  <c r="AB223" i="8"/>
  <c r="Q21" i="8"/>
  <c r="Q18" i="8"/>
  <c r="Q12" i="8"/>
  <c r="Q11" i="8" l="1"/>
  <c r="Q17" i="8"/>
  <c r="Q20" i="8"/>
  <c r="Q179" i="8"/>
  <c r="Q46" i="8"/>
  <c r="Z294" i="8" l="1"/>
  <c r="AB294" i="8"/>
  <c r="Z46" i="8"/>
  <c r="AB46" i="8"/>
  <c r="Z179" i="8"/>
  <c r="AB179" i="8"/>
  <c r="AB178" i="8" s="1"/>
  <c r="AB177" i="8" s="1"/>
  <c r="AB44" i="8"/>
  <c r="Q10" i="8"/>
  <c r="Z302" i="8" l="1"/>
  <c r="AB302" i="8"/>
  <c r="AB304" i="8"/>
  <c r="Z304" i="8"/>
  <c r="Z303" i="8"/>
  <c r="AB303" i="8"/>
  <c r="Z301" i="8"/>
  <c r="AB301" i="8"/>
  <c r="Z295" i="8"/>
  <c r="AB295" i="8"/>
  <c r="Y77" i="8"/>
  <c r="Y76" i="8" s="1"/>
  <c r="Z77" i="8"/>
  <c r="Z76" i="8" s="1"/>
  <c r="Q44" i="8"/>
  <c r="Q77" i="8"/>
  <c r="AB293" i="8" l="1"/>
  <c r="AB292" i="8" s="1"/>
  <c r="AB291" i="8" s="1"/>
  <c r="AB290" i="8" s="1"/>
  <c r="AB289" i="8" s="1"/>
  <c r="Q76" i="8"/>
  <c r="Q251" i="8"/>
  <c r="Q164" i="8"/>
  <c r="Q312" i="8"/>
  <c r="S312" i="8" s="1"/>
  <c r="S311" i="8" s="1"/>
  <c r="S291" i="8" s="1"/>
  <c r="S290" i="8" s="1"/>
  <c r="S289" i="8" s="1"/>
  <c r="Z164" i="8" l="1"/>
  <c r="AB164" i="8"/>
  <c r="Z163" i="8"/>
  <c r="AB163" i="8"/>
  <c r="Z227" i="8"/>
  <c r="AB227" i="8"/>
  <c r="Z228" i="8"/>
  <c r="AB228" i="8"/>
  <c r="Z251" i="8"/>
  <c r="AB251" i="8"/>
  <c r="AB250" i="8" s="1"/>
  <c r="AB249" i="8" s="1"/>
  <c r="AB248" i="8" s="1"/>
  <c r="Q69" i="8" l="1"/>
  <c r="Q62" i="8"/>
  <c r="Q51" i="8"/>
  <c r="Q42" i="8"/>
  <c r="Q40" i="8"/>
  <c r="Q34" i="8"/>
  <c r="AB34" i="8" l="1"/>
  <c r="Z34" i="8"/>
  <c r="AB40" i="8"/>
  <c r="AB39" i="8" s="1"/>
  <c r="AB36" i="8" s="1"/>
  <c r="Z40" i="8"/>
  <c r="Z39" i="8" s="1"/>
  <c r="Z42" i="8"/>
  <c r="Z41" i="8" s="1"/>
  <c r="AB42" i="8"/>
  <c r="AB41" i="8" s="1"/>
  <c r="Z51" i="8"/>
  <c r="AB51" i="8"/>
  <c r="AB62" i="8"/>
  <c r="Z62" i="8"/>
  <c r="Z69" i="8"/>
  <c r="AB69" i="8"/>
  <c r="AB68" i="8" s="1"/>
  <c r="AB63" i="8" s="1"/>
  <c r="AB33" i="8"/>
  <c r="AB32" i="8" s="1"/>
  <c r="AB31" i="8" s="1"/>
  <c r="AB61" i="8"/>
  <c r="AB60" i="8" s="1"/>
  <c r="Z37" i="8"/>
  <c r="W40" i="8"/>
  <c r="W39" i="8" s="1"/>
  <c r="W36" i="8" s="1"/>
  <c r="W35" i="8" s="1"/>
  <c r="W30" i="8" s="1"/>
  <c r="W29" i="8" s="1"/>
  <c r="W7" i="8" s="1"/>
  <c r="Q133" i="8"/>
  <c r="AB35" i="8" l="1"/>
  <c r="Z36" i="8"/>
  <c r="Q287" i="8"/>
  <c r="Q284" i="8"/>
  <c r="Q282" i="8"/>
  <c r="Q280" i="8"/>
  <c r="Q278" i="8"/>
  <c r="Q277" i="8" l="1"/>
  <c r="S106" i="8"/>
  <c r="S105" i="8" l="1"/>
  <c r="S104" i="8" s="1"/>
  <c r="S103" i="8" s="1"/>
  <c r="S95" i="8" s="1"/>
  <c r="S94" i="8" s="1"/>
  <c r="S29" i="8" s="1"/>
  <c r="S7" i="8" s="1"/>
  <c r="R104" i="8"/>
  <c r="R103" i="8" s="1"/>
  <c r="R95" i="8" s="1"/>
  <c r="R94" i="8" s="1"/>
  <c r="R29" i="8" s="1"/>
  <c r="R7" i="8" s="1"/>
  <c r="W312" i="8" l="1"/>
  <c r="X312" i="8"/>
  <c r="X311" i="8" s="1"/>
  <c r="X291" i="8" s="1"/>
  <c r="X290" i="8" s="1"/>
  <c r="X289" i="8" s="1"/>
  <c r="V289" i="8" s="1"/>
  <c r="Y271" i="8"/>
  <c r="Y270" i="8" s="1"/>
  <c r="Z271" i="8"/>
  <c r="Z270" i="8" s="1"/>
  <c r="Z104" i="8"/>
  <c r="Z103" i="8" s="1"/>
  <c r="W311" i="8" l="1"/>
  <c r="W291" i="8" s="1"/>
  <c r="W290" i="8" s="1"/>
  <c r="W289" i="8" s="1"/>
  <c r="AB104" i="8"/>
  <c r="AB103" i="8" s="1"/>
  <c r="Y104" i="8"/>
  <c r="Y103" i="8" s="1"/>
  <c r="Y266" i="8"/>
  <c r="Y265" i="8" s="1"/>
  <c r="Y264" i="8" s="1"/>
  <c r="Z255" i="8"/>
  <c r="Z245" i="8"/>
  <c r="Z244" i="8" s="1"/>
  <c r="Z243" i="8" s="1"/>
  <c r="Z241" i="8"/>
  <c r="Z240" i="8" s="1"/>
  <c r="Z239" i="8" s="1"/>
  <c r="Y210" i="8"/>
  <c r="Y209" i="8" s="1"/>
  <c r="Z210" i="8"/>
  <c r="Z209" i="8" s="1"/>
  <c r="Y201" i="8"/>
  <c r="Y200" i="8" s="1"/>
  <c r="Z201" i="8"/>
  <c r="Z200" i="8" s="1"/>
  <c r="Y198" i="8"/>
  <c r="Y197" i="8" s="1"/>
  <c r="Z198" i="8"/>
  <c r="Z197" i="8" s="1"/>
  <c r="Z195" i="8"/>
  <c r="Z194" i="8" s="1"/>
  <c r="Y191" i="8"/>
  <c r="Y190" i="8" s="1"/>
  <c r="Y189" i="8" s="1"/>
  <c r="Z191" i="8"/>
  <c r="Z190" i="8" s="1"/>
  <c r="Z189" i="8" s="1"/>
  <c r="Y184" i="8"/>
  <c r="Z184" i="8"/>
  <c r="Y182" i="8"/>
  <c r="Y181" i="8" s="1"/>
  <c r="Z182" i="8"/>
  <c r="Z181" i="8" s="1"/>
  <c r="AB174" i="8"/>
  <c r="AB173" i="8" s="1"/>
  <c r="AB168" i="8" s="1"/>
  <c r="Y174" i="8"/>
  <c r="Y173" i="8" s="1"/>
  <c r="Z174" i="8"/>
  <c r="Z173" i="8" s="1"/>
  <c r="AB161" i="8"/>
  <c r="AB153" i="8" s="1"/>
  <c r="AB152" i="8" s="1"/>
  <c r="Z156" i="8"/>
  <c r="Y154" i="8"/>
  <c r="Z154" i="8"/>
  <c r="Y131" i="8"/>
  <c r="Z131" i="8"/>
  <c r="Y113" i="8"/>
  <c r="Z113" i="8"/>
  <c r="Y111" i="8"/>
  <c r="Z111" i="8"/>
  <c r="Y92" i="8"/>
  <c r="Z92" i="8"/>
  <c r="Y90" i="8"/>
  <c r="Z90" i="8"/>
  <c r="AB83" i="8"/>
  <c r="AB82" i="8" s="1"/>
  <c r="AB73" i="8" s="1"/>
  <c r="Y80" i="8"/>
  <c r="Y79" i="8" s="1"/>
  <c r="Z80" i="8"/>
  <c r="Z79" i="8" s="1"/>
  <c r="Y71" i="8"/>
  <c r="Y70" i="8" s="1"/>
  <c r="Z71" i="8"/>
  <c r="Z70" i="8" s="1"/>
  <c r="Y74" i="8"/>
  <c r="Z74" i="8"/>
  <c r="Y68" i="8"/>
  <c r="Z68" i="8"/>
  <c r="Y66" i="8"/>
  <c r="Z66" i="8"/>
  <c r="Y64" i="8"/>
  <c r="Z64" i="8"/>
  <c r="Y61" i="8"/>
  <c r="Y60" i="8" s="1"/>
  <c r="Z61" i="8"/>
  <c r="Z60" i="8" s="1"/>
  <c r="Z58" i="8"/>
  <c r="Z56" i="8"/>
  <c r="Z52" i="8"/>
  <c r="Y41" i="8"/>
  <c r="Y33" i="8"/>
  <c r="Y32" i="8" s="1"/>
  <c r="Y31" i="8" s="1"/>
  <c r="Z33" i="8"/>
  <c r="Z32" i="8" s="1"/>
  <c r="Z31" i="8" s="1"/>
  <c r="Y27" i="8"/>
  <c r="Y26" i="8" s="1"/>
  <c r="Y25" i="8" s="1"/>
  <c r="Y24" i="8" s="1"/>
  <c r="Y23" i="8" s="1"/>
  <c r="Y9" i="8" s="1"/>
  <c r="Y8" i="8" s="1"/>
  <c r="Z27" i="8"/>
  <c r="Z26" i="8" s="1"/>
  <c r="Z25" i="8" s="1"/>
  <c r="Z24" i="8" s="1"/>
  <c r="Z23" i="8" s="1"/>
  <c r="Z12" i="8"/>
  <c r="Z11" i="8" s="1"/>
  <c r="Z10" i="8" s="1"/>
  <c r="Z44" i="8" l="1"/>
  <c r="Z35" i="8" s="1"/>
  <c r="Z49" i="8"/>
  <c r="Z48" i="8" s="1"/>
  <c r="Z63" i="8"/>
  <c r="Z83" i="8"/>
  <c r="Z82" i="8" s="1"/>
  <c r="Z133" i="8"/>
  <c r="Z149" i="8"/>
  <c r="Y170" i="8"/>
  <c r="Y169" i="8" s="1"/>
  <c r="Y215" i="8"/>
  <c r="Y250" i="8"/>
  <c r="Y249" i="8" s="1"/>
  <c r="Y248" i="8" s="1"/>
  <c r="Y63" i="8"/>
  <c r="Z312" i="8"/>
  <c r="Z311" i="8" s="1"/>
  <c r="Y83" i="8"/>
  <c r="Y82" i="8" s="1"/>
  <c r="Y110" i="8"/>
  <c r="Y109" i="8" s="1"/>
  <c r="Y108" i="8" s="1"/>
  <c r="Y107" i="8" s="1"/>
  <c r="Z231" i="8"/>
  <c r="Z234" i="8"/>
  <c r="Y44" i="8"/>
  <c r="Y35" i="8" s="1"/>
  <c r="Z9" i="8"/>
  <c r="Z8" i="8" s="1"/>
  <c r="Y312" i="8"/>
  <c r="Y311" i="8" s="1"/>
  <c r="Z170" i="8"/>
  <c r="Z169" i="8" s="1"/>
  <c r="Y178" i="8"/>
  <c r="Y177" i="8" s="1"/>
  <c r="Y122" i="8"/>
  <c r="AB133" i="8"/>
  <c r="Y133" i="8"/>
  <c r="AB149" i="8"/>
  <c r="Y149" i="8"/>
  <c r="Z161" i="8"/>
  <c r="Z153" i="8" s="1"/>
  <c r="Z152" i="8" s="1"/>
  <c r="AB195" i="8"/>
  <c r="AB194" i="8" s="1"/>
  <c r="AB193" i="8" s="1"/>
  <c r="AB188" i="8" s="1"/>
  <c r="Y195" i="8"/>
  <c r="Y194" i="8" s="1"/>
  <c r="Z89" i="8"/>
  <c r="Z96" i="8"/>
  <c r="Z100" i="8"/>
  <c r="Z110" i="8"/>
  <c r="Z109" i="8" s="1"/>
  <c r="Z108" i="8" s="1"/>
  <c r="Z107" i="8" s="1"/>
  <c r="Z145" i="8"/>
  <c r="Y156" i="8"/>
  <c r="Y161" i="8"/>
  <c r="Z178" i="8"/>
  <c r="Z177" i="8" s="1"/>
  <c r="Z204" i="8"/>
  <c r="Z203" i="8" s="1"/>
  <c r="Z193" i="8" s="1"/>
  <c r="Z188" i="8" s="1"/>
  <c r="AB231" i="8"/>
  <c r="Y231" i="8"/>
  <c r="AB234" i="8"/>
  <c r="Y234" i="8"/>
  <c r="AB245" i="8"/>
  <c r="AB244" i="8" s="1"/>
  <c r="AB243" i="8" s="1"/>
  <c r="Y245" i="8"/>
  <c r="Y244" i="8" s="1"/>
  <c r="Y243" i="8" s="1"/>
  <c r="Y259" i="8"/>
  <c r="AB241" i="8"/>
  <c r="AB240" i="8" s="1"/>
  <c r="AB239" i="8" s="1"/>
  <c r="Y241" i="8"/>
  <c r="Y240" i="8" s="1"/>
  <c r="Y239" i="8" s="1"/>
  <c r="Y89" i="8"/>
  <c r="AB96" i="8"/>
  <c r="Y96" i="8"/>
  <c r="AB100" i="8"/>
  <c r="Y100" i="8"/>
  <c r="Y117" i="8"/>
  <c r="Y116" i="8" s="1"/>
  <c r="AB145" i="8"/>
  <c r="Y145" i="8"/>
  <c r="Y204" i="8"/>
  <c r="Y203" i="8" s="1"/>
  <c r="Z238" i="8"/>
  <c r="Z250" i="8"/>
  <c r="Z249" i="8" s="1"/>
  <c r="Z248" i="8" s="1"/>
  <c r="AB255" i="8"/>
  <c r="Y255" i="8"/>
  <c r="Y293" i="8"/>
  <c r="Y292" i="8" s="1"/>
  <c r="AB49" i="8"/>
  <c r="Y49" i="8"/>
  <c r="AB52" i="8"/>
  <c r="Y52" i="8"/>
  <c r="AB58" i="8"/>
  <c r="Y58" i="8"/>
  <c r="Z55" i="8"/>
  <c r="AB56" i="8"/>
  <c r="Y56" i="8"/>
  <c r="Z168" i="8" l="1"/>
  <c r="Y168" i="8"/>
  <c r="Z144" i="8"/>
  <c r="Z47" i="8"/>
  <c r="Y73" i="8"/>
  <c r="Z73" i="8"/>
  <c r="Y291" i="8"/>
  <c r="Y290" i="8" s="1"/>
  <c r="Y289" i="8" s="1"/>
  <c r="AB238" i="8"/>
  <c r="Y193" i="8"/>
  <c r="Y188" i="8" s="1"/>
  <c r="Y144" i="8"/>
  <c r="Y121" i="8"/>
  <c r="Y120" i="8" s="1"/>
  <c r="Y254" i="8"/>
  <c r="Y247" i="8" s="1"/>
  <c r="AB144" i="8"/>
  <c r="Y214" i="8"/>
  <c r="Y213" i="8" s="1"/>
  <c r="Y238" i="8"/>
  <c r="Y153" i="8"/>
  <c r="Y152" i="8" s="1"/>
  <c r="Y95" i="8"/>
  <c r="Z95" i="8"/>
  <c r="AB55" i="8"/>
  <c r="AB95" i="8"/>
  <c r="Y55" i="8"/>
  <c r="Y48" i="8"/>
  <c r="AB48" i="8"/>
  <c r="Z30" i="8" l="1"/>
  <c r="Y115" i="8"/>
  <c r="Y94" i="8" s="1"/>
  <c r="Y212" i="8"/>
  <c r="Y187" i="8" s="1"/>
  <c r="Y186" i="8" s="1"/>
  <c r="AB47" i="8"/>
  <c r="AB30" i="8" s="1"/>
  <c r="Y47" i="8"/>
  <c r="Y30" i="8" s="1"/>
  <c r="Q218" i="8"/>
  <c r="Q215" i="8" s="1"/>
  <c r="Z218" i="8" l="1"/>
  <c r="Z215" i="8" s="1"/>
  <c r="Z214" i="8" s="1"/>
  <c r="Z213" i="8" s="1"/>
  <c r="AB218" i="8"/>
  <c r="AB215" i="8" s="1"/>
  <c r="AB214" i="8" s="1"/>
  <c r="AB213" i="8" s="1"/>
  <c r="Y29" i="8"/>
  <c r="Y7" i="8" s="1"/>
  <c r="Q83" i="8"/>
  <c r="Q234" i="8" l="1"/>
  <c r="Q241" i="8"/>
  <c r="Q245" i="8"/>
  <c r="Q231" i="8"/>
  <c r="Q240" i="8" l="1"/>
  <c r="Q276" i="8"/>
  <c r="Q269" i="8"/>
  <c r="Q210" i="8"/>
  <c r="Q201" i="8"/>
  <c r="AB269" i="8" l="1"/>
  <c r="Z269" i="8"/>
  <c r="Z266" i="8" s="1"/>
  <c r="Z265" i="8" s="1"/>
  <c r="Z264" i="8" s="1"/>
  <c r="Q266" i="8"/>
  <c r="Q265" i="8" s="1"/>
  <c r="AB266" i="8"/>
  <c r="AB265" i="8" s="1"/>
  <c r="AB264" i="8" s="1"/>
  <c r="Q275" i="8"/>
  <c r="Q200" i="8"/>
  <c r="Q209" i="8"/>
  <c r="Q239" i="8"/>
  <c r="Q214" i="8"/>
  <c r="Q264" i="8" l="1"/>
  <c r="Q213" i="8"/>
  <c r="Q193" i="8"/>
  <c r="Q58" i="8"/>
  <c r="Q311" i="8" l="1"/>
  <c r="AD340" i="8" l="1"/>
  <c r="Q273" i="8" l="1"/>
  <c r="Q271" i="8"/>
  <c r="Q260" i="8"/>
  <c r="Q129" i="8"/>
  <c r="Q244" i="8"/>
  <c r="Q191" i="8"/>
  <c r="Q184" i="8"/>
  <c r="Q182" i="8"/>
  <c r="Q178" i="8"/>
  <c r="Q174" i="8"/>
  <c r="Q170" i="8"/>
  <c r="Q161" i="8"/>
  <c r="Q156" i="8"/>
  <c r="Q154" i="8"/>
  <c r="Q149" i="8"/>
  <c r="Q131" i="8"/>
  <c r="Q123" i="8"/>
  <c r="Q119" i="8"/>
  <c r="Q113" i="8"/>
  <c r="Q111" i="8"/>
  <c r="Q104" i="8"/>
  <c r="Q100" i="8"/>
  <c r="Q96" i="8"/>
  <c r="Q92" i="8"/>
  <c r="Q90" i="8"/>
  <c r="Q82" i="8"/>
  <c r="Q80" i="8"/>
  <c r="Q74" i="8"/>
  <c r="Q71" i="8"/>
  <c r="Q68" i="8"/>
  <c r="Q64" i="8"/>
  <c r="Q61" i="8"/>
  <c r="Q56" i="8"/>
  <c r="Q41" i="8"/>
  <c r="Q39" i="8"/>
  <c r="Q37" i="8"/>
  <c r="Q33" i="8"/>
  <c r="Q9" i="8"/>
  <c r="S353" i="5"/>
  <c r="S352" i="5"/>
  <c r="S351" i="5"/>
  <c r="R351" i="5"/>
  <c r="AD343" i="5"/>
  <c r="AC343" i="5"/>
  <c r="AB343" i="5"/>
  <c r="AA343" i="5"/>
  <c r="AD341" i="5"/>
  <c r="AC341" i="5"/>
  <c r="AB341" i="5"/>
  <c r="AA341" i="5"/>
  <c r="Z341" i="5"/>
  <c r="R329" i="5"/>
  <c r="S328" i="5"/>
  <c r="R328" i="5"/>
  <c r="AD324" i="5"/>
  <c r="AC324" i="5"/>
  <c r="AB324" i="5"/>
  <c r="AA324" i="5"/>
  <c r="AD323" i="5"/>
  <c r="AC323" i="5"/>
  <c r="AB323" i="5"/>
  <c r="AA323" i="5"/>
  <c r="R323" i="5"/>
  <c r="R320" i="5"/>
  <c r="R319" i="5"/>
  <c r="R318" i="5"/>
  <c r="Q318" i="5"/>
  <c r="R317" i="5"/>
  <c r="Q317" i="5"/>
  <c r="R316" i="5"/>
  <c r="Q316" i="5"/>
  <c r="R314" i="5"/>
  <c r="R312" i="5"/>
  <c r="R311" i="5"/>
  <c r="Q311" i="5"/>
  <c r="R309" i="5"/>
  <c r="AD308" i="5"/>
  <c r="AC308" i="5"/>
  <c r="AB308" i="5"/>
  <c r="AA308" i="5"/>
  <c r="R307" i="5"/>
  <c r="AD306" i="5"/>
  <c r="AC306" i="5"/>
  <c r="AB306" i="5"/>
  <c r="AA306" i="5"/>
  <c r="R305" i="5"/>
  <c r="R304" i="5"/>
  <c r="Q304" i="5"/>
  <c r="R303" i="5"/>
  <c r="Q303" i="5"/>
  <c r="R302" i="5"/>
  <c r="Q302" i="5"/>
  <c r="AD301" i="5"/>
  <c r="AC301" i="5"/>
  <c r="AB301" i="5"/>
  <c r="AA301" i="5"/>
  <c r="R301" i="5"/>
  <c r="R300" i="5"/>
  <c r="AD299" i="5"/>
  <c r="AC299" i="5"/>
  <c r="AB299" i="5"/>
  <c r="AA299" i="5"/>
  <c r="Z299" i="5"/>
  <c r="Y299" i="5"/>
  <c r="X299" i="5"/>
  <c r="R298" i="5"/>
  <c r="R297" i="5"/>
  <c r="Q297" i="5"/>
  <c r="AD296" i="5"/>
  <c r="AC296" i="5"/>
  <c r="AB296" i="5"/>
  <c r="AA296" i="5"/>
  <c r="R295" i="5"/>
  <c r="R293" i="5"/>
  <c r="R292" i="5"/>
  <c r="Q292" i="5"/>
  <c r="R290" i="5"/>
  <c r="R289" i="5"/>
  <c r="Q289" i="5"/>
  <c r="R288" i="5"/>
  <c r="Q288" i="5"/>
  <c r="R286" i="5"/>
  <c r="R285" i="5"/>
  <c r="Q285" i="5"/>
  <c r="AD284" i="5"/>
  <c r="AC284" i="5"/>
  <c r="AB284" i="5"/>
  <c r="AA284" i="5"/>
  <c r="R284" i="5"/>
  <c r="AD283" i="5"/>
  <c r="AC283" i="5"/>
  <c r="AB283" i="5"/>
  <c r="AA283" i="5"/>
  <c r="AD282" i="5"/>
  <c r="AC282" i="5"/>
  <c r="AB282" i="5"/>
  <c r="AA282" i="5"/>
  <c r="R280" i="5"/>
  <c r="Q280" i="5"/>
  <c r="R279" i="5"/>
  <c r="Q279" i="5"/>
  <c r="R278" i="5"/>
  <c r="Q278" i="5"/>
  <c r="AD277" i="5"/>
  <c r="AC277" i="5"/>
  <c r="AB277" i="5"/>
  <c r="AA277" i="5"/>
  <c r="R276" i="5"/>
  <c r="Q276" i="5"/>
  <c r="R275" i="5"/>
  <c r="Q275" i="5"/>
  <c r="AD274" i="5"/>
  <c r="AC274" i="5"/>
  <c r="AB274" i="5"/>
  <c r="AA274" i="5"/>
  <c r="X274" i="5"/>
  <c r="AD273" i="5"/>
  <c r="AC273" i="5"/>
  <c r="AB273" i="5"/>
  <c r="AA273" i="5"/>
  <c r="R272" i="5"/>
  <c r="R271" i="5"/>
  <c r="Q271" i="5"/>
  <c r="R270" i="5"/>
  <c r="Q270" i="5"/>
  <c r="S269" i="5"/>
  <c r="R269" i="5"/>
  <c r="Q269" i="5"/>
  <c r="R267" i="5"/>
  <c r="R266" i="5"/>
  <c r="Q266" i="5"/>
  <c r="R265" i="5"/>
  <c r="Q265" i="5"/>
  <c r="AD264" i="5"/>
  <c r="AC264" i="5"/>
  <c r="AB264" i="5"/>
  <c r="AA264" i="5"/>
  <c r="R263" i="5"/>
  <c r="R262" i="5"/>
  <c r="R261" i="5"/>
  <c r="R260" i="5"/>
  <c r="Q260" i="5"/>
  <c r="AD259" i="5"/>
  <c r="AC259" i="5"/>
  <c r="AB259" i="5"/>
  <c r="AA259" i="5"/>
  <c r="R259" i="5"/>
  <c r="AD258" i="5"/>
  <c r="AC258" i="5"/>
  <c r="AB258" i="5"/>
  <c r="AA258" i="5"/>
  <c r="R257" i="5"/>
  <c r="Q257" i="5"/>
  <c r="AD256" i="5"/>
  <c r="AC256" i="5"/>
  <c r="AB256" i="5"/>
  <c r="AA256" i="5"/>
  <c r="AD254" i="5"/>
  <c r="AC254" i="5"/>
  <c r="AB254" i="5"/>
  <c r="AA254" i="5"/>
  <c r="R253" i="5"/>
  <c r="AD252" i="5"/>
  <c r="AC252" i="5"/>
  <c r="AB252" i="5"/>
  <c r="AA252" i="5"/>
  <c r="AD251" i="5"/>
  <c r="AC251" i="5"/>
  <c r="AB251" i="5"/>
  <c r="AA251" i="5"/>
  <c r="AD250" i="5"/>
  <c r="AC250" i="5"/>
  <c r="AB250" i="5"/>
  <c r="AA250" i="5"/>
  <c r="AD249" i="5"/>
  <c r="AC249" i="5"/>
  <c r="AB249" i="5"/>
  <c r="AA249" i="5"/>
  <c r="R249" i="5"/>
  <c r="AD248" i="5"/>
  <c r="AC248" i="5"/>
  <c r="AB248" i="5"/>
  <c r="AA248" i="5"/>
  <c r="Z248" i="5"/>
  <c r="Y248" i="5"/>
  <c r="X248" i="5"/>
  <c r="R248" i="5"/>
  <c r="AD247" i="5"/>
  <c r="AC247" i="5"/>
  <c r="AB247" i="5"/>
  <c r="AA247" i="5"/>
  <c r="AD246" i="5"/>
  <c r="AC246" i="5"/>
  <c r="AB246" i="5"/>
  <c r="AA246" i="5"/>
  <c r="AD245" i="5"/>
  <c r="AC245" i="5"/>
  <c r="AB245" i="5"/>
  <c r="AA245" i="5"/>
  <c r="AD244" i="5"/>
  <c r="AC244" i="5"/>
  <c r="AB244" i="5"/>
  <c r="AA244" i="5"/>
  <c r="AD243" i="5"/>
  <c r="AC243" i="5"/>
  <c r="AB243" i="5"/>
  <c r="AA243" i="5"/>
  <c r="R242" i="5"/>
  <c r="Q242" i="5"/>
  <c r="R241" i="5"/>
  <c r="Q241" i="5"/>
  <c r="R240" i="5"/>
  <c r="Q240" i="5"/>
  <c r="R239" i="5"/>
  <c r="Q239" i="5"/>
  <c r="AD238" i="5"/>
  <c r="AC238" i="5"/>
  <c r="AB238" i="5"/>
  <c r="AA238" i="5"/>
  <c r="R238" i="5"/>
  <c r="R237" i="5"/>
  <c r="R236" i="5"/>
  <c r="Q236" i="5"/>
  <c r="AD235" i="5"/>
  <c r="AC235" i="5"/>
  <c r="AB235" i="5"/>
  <c r="AA235" i="5"/>
  <c r="R234" i="5"/>
  <c r="R233" i="5"/>
  <c r="Q233" i="5"/>
  <c r="R230" i="5"/>
  <c r="R229" i="5"/>
  <c r="Q229" i="5"/>
  <c r="AD228" i="5"/>
  <c r="AC228" i="5"/>
  <c r="AB228" i="5"/>
  <c r="AA228" i="5"/>
  <c r="R228" i="5"/>
  <c r="R227" i="5"/>
  <c r="R226" i="5"/>
  <c r="Q226" i="5"/>
  <c r="AD225" i="5"/>
  <c r="AC225" i="5"/>
  <c r="AB225" i="5"/>
  <c r="AA225" i="5"/>
  <c r="R225" i="5"/>
  <c r="R224" i="5"/>
  <c r="R223" i="5"/>
  <c r="Q223" i="5"/>
  <c r="AD222" i="5"/>
  <c r="AC222" i="5"/>
  <c r="AB222" i="5"/>
  <c r="AA222" i="5"/>
  <c r="R221" i="5"/>
  <c r="R220" i="5"/>
  <c r="Q220" i="5"/>
  <c r="R219" i="5"/>
  <c r="Q219" i="5"/>
  <c r="AD218" i="5"/>
  <c r="AC218" i="5"/>
  <c r="AB218" i="5"/>
  <c r="AA218" i="5"/>
  <c r="R217" i="5"/>
  <c r="R216" i="5"/>
  <c r="Q216" i="5"/>
  <c r="R215" i="5"/>
  <c r="Q215" i="5"/>
  <c r="R214" i="5"/>
  <c r="Q214" i="5"/>
  <c r="R213" i="5"/>
  <c r="Q213" i="5"/>
  <c r="R212" i="5"/>
  <c r="Q212" i="5"/>
  <c r="AD211" i="5"/>
  <c r="AC211" i="5"/>
  <c r="AB211" i="5"/>
  <c r="AA211" i="5"/>
  <c r="R210" i="5"/>
  <c r="AD209" i="5"/>
  <c r="AC209" i="5"/>
  <c r="AB209" i="5"/>
  <c r="AA209" i="5"/>
  <c r="R208" i="5"/>
  <c r="R206" i="5"/>
  <c r="Q206" i="5"/>
  <c r="AD205" i="5"/>
  <c r="AC205" i="5"/>
  <c r="AB205" i="5"/>
  <c r="AA205" i="5"/>
  <c r="R205" i="5"/>
  <c r="R204" i="5"/>
  <c r="R203" i="5"/>
  <c r="Q203" i="5"/>
  <c r="AD202" i="5"/>
  <c r="AC202" i="5"/>
  <c r="AB202" i="5"/>
  <c r="AA202" i="5"/>
  <c r="R201" i="5"/>
  <c r="R200" i="5"/>
  <c r="Q200" i="5"/>
  <c r="AD199" i="5"/>
  <c r="AC199" i="5"/>
  <c r="AB199" i="5"/>
  <c r="AA199" i="5"/>
  <c r="AD198" i="5"/>
  <c r="AC198" i="5"/>
  <c r="AB198" i="5"/>
  <c r="AA198" i="5"/>
  <c r="AD197" i="5"/>
  <c r="AC197" i="5"/>
  <c r="AB197" i="5"/>
  <c r="AA197" i="5"/>
  <c r="AD196" i="5"/>
  <c r="AC196" i="5"/>
  <c r="AB196" i="5"/>
  <c r="AA196" i="5"/>
  <c r="AD195" i="5"/>
  <c r="AC195" i="5"/>
  <c r="AB195" i="5"/>
  <c r="AA195" i="5"/>
  <c r="AD194" i="5"/>
  <c r="AC194" i="5"/>
  <c r="AB194" i="5"/>
  <c r="AA194" i="5"/>
  <c r="R194" i="5"/>
  <c r="R193" i="5"/>
  <c r="R192" i="5"/>
  <c r="Q192" i="5"/>
  <c r="R191" i="5"/>
  <c r="Q191" i="5"/>
  <c r="AD190" i="5"/>
  <c r="AC190" i="5"/>
  <c r="AB190" i="5"/>
  <c r="AA190" i="5"/>
  <c r="Y190" i="5"/>
  <c r="X190" i="5"/>
  <c r="R189" i="5"/>
  <c r="AD188" i="5"/>
  <c r="AC188" i="5"/>
  <c r="AB188" i="5"/>
  <c r="AA188" i="5"/>
  <c r="AD187" i="5"/>
  <c r="AC187" i="5"/>
  <c r="AB187" i="5"/>
  <c r="AA187" i="5"/>
  <c r="AD186" i="5"/>
  <c r="AC186" i="5"/>
  <c r="AB186" i="5"/>
  <c r="AA186" i="5"/>
  <c r="AD185" i="5"/>
  <c r="AC185" i="5"/>
  <c r="AB185" i="5"/>
  <c r="AA185" i="5"/>
  <c r="AD184" i="5"/>
  <c r="AC184" i="5"/>
  <c r="AB184" i="5"/>
  <c r="AA184" i="5"/>
  <c r="AD183" i="5"/>
  <c r="AC183" i="5"/>
  <c r="AB183" i="5"/>
  <c r="AA183" i="5"/>
  <c r="R182" i="5"/>
  <c r="AD181" i="5"/>
  <c r="AC181" i="5"/>
  <c r="AB181" i="5"/>
  <c r="AA181" i="5"/>
  <c r="R180" i="5"/>
  <c r="Q180" i="5"/>
  <c r="R179" i="5"/>
  <c r="Q179" i="5"/>
  <c r="R178" i="5"/>
  <c r="Q178" i="5"/>
  <c r="AD177" i="5"/>
  <c r="AC177" i="5"/>
  <c r="AB177" i="5"/>
  <c r="AA177" i="5"/>
  <c r="AD176" i="5"/>
  <c r="AC176" i="5"/>
  <c r="AB176" i="5"/>
  <c r="AA176" i="5"/>
  <c r="R175" i="5"/>
  <c r="AD174" i="5"/>
  <c r="AC174" i="5"/>
  <c r="AB174" i="5"/>
  <c r="AA174" i="5"/>
  <c r="AD173" i="5"/>
  <c r="AC173" i="5"/>
  <c r="AB173" i="5"/>
  <c r="AA173" i="5"/>
  <c r="AD172" i="5"/>
  <c r="AC172" i="5"/>
  <c r="AB172" i="5"/>
  <c r="AA172" i="5"/>
  <c r="Z172" i="5"/>
  <c r="Y172" i="5"/>
  <c r="X172" i="5"/>
  <c r="R171" i="5"/>
  <c r="R170" i="5"/>
  <c r="Q170" i="5"/>
  <c r="AD169" i="5"/>
  <c r="AC169" i="5"/>
  <c r="AB169" i="5"/>
  <c r="AA169" i="5"/>
  <c r="R168" i="5"/>
  <c r="AD167" i="5"/>
  <c r="AC167" i="5"/>
  <c r="AB167" i="5"/>
  <c r="AA167" i="5"/>
  <c r="R166" i="5"/>
  <c r="AD165" i="5"/>
  <c r="AC165" i="5"/>
  <c r="AB165" i="5"/>
  <c r="AA165" i="5"/>
  <c r="AD164" i="5"/>
  <c r="AC164" i="5"/>
  <c r="AB164" i="5"/>
  <c r="AA164" i="5"/>
  <c r="AD163" i="5"/>
  <c r="AC163" i="5"/>
  <c r="AB163" i="5"/>
  <c r="AA163" i="5"/>
  <c r="AD162" i="5"/>
  <c r="AC162" i="5"/>
  <c r="AB162" i="5"/>
  <c r="AA162" i="5"/>
  <c r="AD161" i="5"/>
  <c r="AC161" i="5"/>
  <c r="AB161" i="5"/>
  <c r="AA161" i="5"/>
  <c r="AD160" i="5"/>
  <c r="AC160" i="5"/>
  <c r="AB160" i="5"/>
  <c r="AA160" i="5"/>
  <c r="AD159" i="5"/>
  <c r="AC159" i="5"/>
  <c r="AB159" i="5"/>
  <c r="AA159" i="5"/>
  <c r="AD158" i="5"/>
  <c r="AC158" i="5"/>
  <c r="AB158" i="5"/>
  <c r="AA158" i="5"/>
  <c r="AD157" i="5"/>
  <c r="AC157" i="5"/>
  <c r="AB157" i="5"/>
  <c r="AA157" i="5"/>
  <c r="AD156" i="5"/>
  <c r="AC156" i="5"/>
  <c r="AB156" i="5"/>
  <c r="AA156" i="5"/>
  <c r="AD155" i="5"/>
  <c r="AC155" i="5"/>
  <c r="AB155" i="5"/>
  <c r="AA155" i="5"/>
  <c r="R154" i="5"/>
  <c r="AD153" i="5"/>
  <c r="AC153" i="5"/>
  <c r="AB153" i="5"/>
  <c r="AA153" i="5"/>
  <c r="R152" i="5"/>
  <c r="AD151" i="5"/>
  <c r="AC151" i="5"/>
  <c r="AB151" i="5"/>
  <c r="AA151" i="5"/>
  <c r="AD150" i="5"/>
  <c r="AC150" i="5"/>
  <c r="AB150" i="5"/>
  <c r="AA150" i="5"/>
  <c r="AD149" i="5"/>
  <c r="AC149" i="5"/>
  <c r="AB149" i="5"/>
  <c r="AA149" i="5"/>
  <c r="AD148" i="5"/>
  <c r="AC148" i="5"/>
  <c r="AB148" i="5"/>
  <c r="AA148" i="5"/>
  <c r="AD147" i="5"/>
  <c r="AC147" i="5"/>
  <c r="AB147" i="5"/>
  <c r="AA147" i="5"/>
  <c r="AD146" i="5"/>
  <c r="AC146" i="5"/>
  <c r="AB146" i="5"/>
  <c r="AA146" i="5"/>
  <c r="AD145" i="5"/>
  <c r="AC145" i="5"/>
  <c r="AB145" i="5"/>
  <c r="AA145" i="5"/>
  <c r="AD144" i="5"/>
  <c r="AC144" i="5"/>
  <c r="AB144" i="5"/>
  <c r="AA144" i="5"/>
  <c r="R143" i="5"/>
  <c r="Q143" i="5"/>
  <c r="R142" i="5"/>
  <c r="Q142" i="5"/>
  <c r="R141" i="5"/>
  <c r="Q141" i="5"/>
  <c r="AD140" i="5"/>
  <c r="AC140" i="5"/>
  <c r="AB140" i="5"/>
  <c r="AA140" i="5"/>
  <c r="AD139" i="5"/>
  <c r="AC139" i="5"/>
  <c r="AB139" i="5"/>
  <c r="AA139" i="5"/>
  <c r="R138" i="5"/>
  <c r="AD137" i="5"/>
  <c r="AC137" i="5"/>
  <c r="AB137" i="5"/>
  <c r="AA137" i="5"/>
  <c r="AD136" i="5"/>
  <c r="AC136" i="5"/>
  <c r="AB136" i="5"/>
  <c r="AA136" i="5"/>
  <c r="R135" i="5"/>
  <c r="Q135" i="5"/>
  <c r="R134" i="5"/>
  <c r="Q134" i="5"/>
  <c r="R133" i="5"/>
  <c r="Q133" i="5"/>
  <c r="R131" i="5"/>
  <c r="AD130" i="5"/>
  <c r="AC130" i="5"/>
  <c r="AB130" i="5"/>
  <c r="AA130" i="5"/>
  <c r="Y130" i="5"/>
  <c r="X130" i="5"/>
  <c r="R129" i="5"/>
  <c r="R128" i="5"/>
  <c r="Q128" i="5"/>
  <c r="R127" i="5"/>
  <c r="Q127" i="5"/>
  <c r="R126" i="5"/>
  <c r="Q126" i="5"/>
  <c r="R125" i="5"/>
  <c r="Q125" i="5"/>
  <c r="AD124" i="5"/>
  <c r="AC124" i="5"/>
  <c r="AB124" i="5"/>
  <c r="AA124" i="5"/>
  <c r="R124" i="5"/>
  <c r="AD123" i="5"/>
  <c r="AC123" i="5"/>
  <c r="AB123" i="5"/>
  <c r="AA123" i="5"/>
  <c r="R123" i="5"/>
  <c r="R122" i="5"/>
  <c r="R121" i="5"/>
  <c r="Q121" i="5"/>
  <c r="AD120" i="5"/>
  <c r="AC120" i="5"/>
  <c r="AB120" i="5"/>
  <c r="AA120" i="5"/>
  <c r="X120" i="5"/>
  <c r="AD119" i="5"/>
  <c r="AC119" i="5"/>
  <c r="AB119" i="5"/>
  <c r="AA119" i="5"/>
  <c r="R118" i="5"/>
  <c r="AD117" i="5"/>
  <c r="AC117" i="5"/>
  <c r="AB117" i="5"/>
  <c r="AA117" i="5"/>
  <c r="Y117" i="5"/>
  <c r="X117" i="5"/>
  <c r="AD116" i="5"/>
  <c r="AC116" i="5"/>
  <c r="AB116" i="5"/>
  <c r="AA116" i="5"/>
  <c r="AD115" i="5"/>
  <c r="AC115" i="5"/>
  <c r="AB115" i="5"/>
  <c r="AA115" i="5"/>
  <c r="R114" i="5"/>
  <c r="R113" i="5"/>
  <c r="Q113" i="5"/>
  <c r="AD112" i="5"/>
  <c r="AC112" i="5"/>
  <c r="AB112" i="5"/>
  <c r="AA112" i="5"/>
  <c r="R111" i="5"/>
  <c r="R110" i="5"/>
  <c r="Q110" i="5"/>
  <c r="R109" i="5"/>
  <c r="Q109" i="5"/>
  <c r="R108" i="5"/>
  <c r="Q108" i="5"/>
  <c r="AD107" i="5"/>
  <c r="AC107" i="5"/>
  <c r="AB107" i="5"/>
  <c r="AA107" i="5"/>
  <c r="R106" i="5"/>
  <c r="AD105" i="5"/>
  <c r="AC105" i="5"/>
  <c r="AB105" i="5"/>
  <c r="AA105" i="5"/>
  <c r="AD104" i="5"/>
  <c r="AC104" i="5"/>
  <c r="AB104" i="5"/>
  <c r="AA104" i="5"/>
  <c r="R103" i="5"/>
  <c r="R102" i="5"/>
  <c r="Q102" i="5"/>
  <c r="AD101" i="5"/>
  <c r="AC101" i="5"/>
  <c r="AB101" i="5"/>
  <c r="AA101" i="5"/>
  <c r="AD100" i="5"/>
  <c r="AC100" i="5"/>
  <c r="AB100" i="5"/>
  <c r="AA100" i="5"/>
  <c r="AD99" i="5"/>
  <c r="AC99" i="5"/>
  <c r="AB99" i="5"/>
  <c r="AA99" i="5"/>
  <c r="R98" i="5"/>
  <c r="R97" i="5"/>
  <c r="Q97" i="5"/>
  <c r="AD96" i="5"/>
  <c r="AC96" i="5"/>
  <c r="AB96" i="5"/>
  <c r="AA96" i="5"/>
  <c r="R95" i="5"/>
  <c r="R94" i="5"/>
  <c r="Q94" i="5"/>
  <c r="AD93" i="5"/>
  <c r="AC93" i="5"/>
  <c r="AB93" i="5"/>
  <c r="AA93" i="5"/>
  <c r="AD92" i="5"/>
  <c r="AC92" i="5"/>
  <c r="AB92" i="5"/>
  <c r="AA92" i="5"/>
  <c r="R91" i="5"/>
  <c r="R90" i="5"/>
  <c r="Q90" i="5"/>
  <c r="AD89" i="5"/>
  <c r="AC89" i="5"/>
  <c r="AB89" i="5"/>
  <c r="AA89" i="5"/>
  <c r="AD88" i="5"/>
  <c r="AC88" i="5"/>
  <c r="AB88" i="5"/>
  <c r="AA88" i="5"/>
  <c r="R88" i="5"/>
  <c r="AD87" i="5"/>
  <c r="AC87" i="5"/>
  <c r="AB87" i="5"/>
  <c r="AA87" i="5"/>
  <c r="R86" i="5"/>
  <c r="R85" i="5"/>
  <c r="Q85" i="5"/>
  <c r="AD84" i="5"/>
  <c r="AC84" i="5"/>
  <c r="AB84" i="5"/>
  <c r="AA84" i="5"/>
  <c r="X84" i="5"/>
  <c r="R83" i="5"/>
  <c r="R82" i="5"/>
  <c r="Q82" i="5"/>
  <c r="AD81" i="5"/>
  <c r="AC81" i="5"/>
  <c r="AB81" i="5"/>
  <c r="AA81" i="5"/>
  <c r="R81" i="5"/>
  <c r="R80" i="5"/>
  <c r="AD79" i="5"/>
  <c r="AC79" i="5"/>
  <c r="AB79" i="5"/>
  <c r="AA79" i="5"/>
  <c r="R78" i="5"/>
  <c r="AD77" i="5"/>
  <c r="AC77" i="5"/>
  <c r="AB77" i="5"/>
  <c r="AA77" i="5"/>
  <c r="R76" i="5"/>
  <c r="AD75" i="5"/>
  <c r="AC75" i="5"/>
  <c r="AB75" i="5"/>
  <c r="AA75" i="5"/>
  <c r="R74" i="5"/>
  <c r="R73" i="5"/>
  <c r="Q73" i="5"/>
  <c r="AD72" i="5"/>
  <c r="AC72" i="5"/>
  <c r="AB72" i="5"/>
  <c r="AA72" i="5"/>
  <c r="R72" i="5"/>
  <c r="R71" i="5"/>
  <c r="AD70" i="5"/>
  <c r="AC70" i="5"/>
  <c r="AB70" i="5"/>
  <c r="AA70" i="5"/>
  <c r="R70" i="5"/>
  <c r="R69" i="5"/>
  <c r="R68" i="5"/>
  <c r="Q68" i="5"/>
  <c r="AD67" i="5"/>
  <c r="AC67" i="5"/>
  <c r="AB67" i="5"/>
  <c r="AA67" i="5"/>
  <c r="R67" i="5"/>
  <c r="R66" i="5"/>
  <c r="R65" i="5"/>
  <c r="Q65" i="5"/>
  <c r="AD64" i="5"/>
  <c r="AC64" i="5"/>
  <c r="AB64" i="5"/>
  <c r="AA64" i="5"/>
  <c r="R63" i="5"/>
  <c r="AD62" i="5"/>
  <c r="AC62" i="5"/>
  <c r="AB62" i="5"/>
  <c r="AA62" i="5"/>
  <c r="R61" i="5"/>
  <c r="R60" i="5"/>
  <c r="Q60" i="5"/>
  <c r="AD59" i="5"/>
  <c r="AC59" i="5"/>
  <c r="AB59" i="5"/>
  <c r="AA59" i="5"/>
  <c r="X59" i="5"/>
  <c r="AD58" i="5"/>
  <c r="AC58" i="5"/>
  <c r="AB58" i="5"/>
  <c r="AA58" i="5"/>
  <c r="R57" i="5"/>
  <c r="AD56" i="5"/>
  <c r="AC56" i="5"/>
  <c r="AB56" i="5"/>
  <c r="AA56" i="5"/>
  <c r="R56" i="5"/>
  <c r="AD55" i="5"/>
  <c r="AC55" i="5"/>
  <c r="AB55" i="5"/>
  <c r="AA55" i="5"/>
  <c r="R54" i="5"/>
  <c r="R53" i="5"/>
  <c r="Q53" i="5"/>
  <c r="R52" i="5"/>
  <c r="Q52" i="5"/>
  <c r="AD51" i="5"/>
  <c r="AC51" i="5"/>
  <c r="AB51" i="5"/>
  <c r="AA51" i="5"/>
  <c r="AD50" i="5"/>
  <c r="AC50" i="5"/>
  <c r="AB50" i="5"/>
  <c r="AA50" i="5"/>
  <c r="R49" i="5"/>
  <c r="Q49" i="5"/>
  <c r="AD48" i="5"/>
  <c r="AC48" i="5"/>
  <c r="AB48" i="5"/>
  <c r="AA48" i="5"/>
  <c r="AD47" i="5"/>
  <c r="AC47" i="5"/>
  <c r="AB47" i="5"/>
  <c r="AA47" i="5"/>
  <c r="AD46" i="5"/>
  <c r="AC46" i="5"/>
  <c r="AB46" i="5"/>
  <c r="AA46" i="5"/>
  <c r="R46" i="5"/>
  <c r="R45" i="5"/>
  <c r="R44" i="5"/>
  <c r="R43" i="5"/>
  <c r="AD42" i="5"/>
  <c r="AC42" i="5"/>
  <c r="AB42" i="5"/>
  <c r="AA42" i="5"/>
  <c r="R42" i="5"/>
  <c r="R41" i="5"/>
  <c r="R40" i="5"/>
  <c r="Q40" i="5"/>
  <c r="AD39" i="5"/>
  <c r="AC39" i="5"/>
  <c r="AB39" i="5"/>
  <c r="AA39" i="5"/>
  <c r="R39" i="5"/>
  <c r="R38" i="5"/>
  <c r="R37" i="5"/>
  <c r="Q37" i="5"/>
  <c r="AD36" i="5"/>
  <c r="AC36" i="5"/>
  <c r="AB36" i="5"/>
  <c r="AA36" i="5"/>
  <c r="R36" i="5"/>
  <c r="R35" i="5"/>
  <c r="R34" i="5"/>
  <c r="Q34" i="5"/>
  <c r="R33" i="5"/>
  <c r="Q33" i="5"/>
  <c r="R32" i="5"/>
  <c r="Q32" i="5"/>
  <c r="R31" i="5"/>
  <c r="Q31" i="5"/>
  <c r="AD30" i="5"/>
  <c r="AC30" i="5"/>
  <c r="AB30" i="5"/>
  <c r="AA30" i="5"/>
  <c r="AD29" i="5"/>
  <c r="AC29" i="5"/>
  <c r="AB29" i="5"/>
  <c r="AA29" i="5"/>
  <c r="R29" i="5"/>
  <c r="R28" i="5"/>
  <c r="R27" i="5"/>
  <c r="Q27" i="5"/>
  <c r="R26" i="5"/>
  <c r="Q26" i="5"/>
  <c r="R25" i="5"/>
  <c r="Q25" i="5"/>
  <c r="R24" i="5"/>
  <c r="Q24" i="5"/>
  <c r="AD18" i="5"/>
  <c r="AC18" i="5"/>
  <c r="AB18" i="5"/>
  <c r="AA18" i="5"/>
  <c r="R17" i="5"/>
  <c r="R16" i="5"/>
  <c r="Q16" i="5"/>
  <c r="AD15" i="5"/>
  <c r="AC15" i="5"/>
  <c r="AB15" i="5"/>
  <c r="R15" i="5"/>
  <c r="R14" i="5"/>
  <c r="AD13" i="5"/>
  <c r="AC13" i="5"/>
  <c r="AB13" i="5"/>
  <c r="AA13" i="5"/>
  <c r="R12" i="5"/>
  <c r="R11" i="5"/>
  <c r="Q11" i="5"/>
  <c r="R10" i="5"/>
  <c r="Q10" i="5"/>
  <c r="R9" i="5"/>
  <c r="Q9" i="5"/>
  <c r="R8" i="5"/>
  <c r="Q8" i="5"/>
  <c r="R7" i="5"/>
  <c r="Q7" i="5"/>
  <c r="P7" i="5"/>
  <c r="O7" i="5"/>
  <c r="Z129" i="8" l="1"/>
  <c r="AB129" i="8"/>
  <c r="AB260" i="8"/>
  <c r="AB259" i="8" s="1"/>
  <c r="AB254" i="8" s="1"/>
  <c r="AB247" i="8" s="1"/>
  <c r="AB212" i="8" s="1"/>
  <c r="AB187" i="8" s="1"/>
  <c r="AB186" i="8" s="1"/>
  <c r="Z260" i="8"/>
  <c r="Z259" i="8" s="1"/>
  <c r="Z254" i="8" s="1"/>
  <c r="Z247" i="8" s="1"/>
  <c r="Z212" i="8" s="1"/>
  <c r="Z187" i="8" s="1"/>
  <c r="Z186" i="8" s="1"/>
  <c r="AC186" i="8" s="1"/>
  <c r="Z119" i="8"/>
  <c r="Z117" i="8" s="1"/>
  <c r="Z116" i="8" s="1"/>
  <c r="AB119" i="8"/>
  <c r="AB117" i="8" s="1"/>
  <c r="AB116" i="8" s="1"/>
  <c r="Z123" i="8"/>
  <c r="AB123" i="8"/>
  <c r="AB122" i="8" s="1"/>
  <c r="AB121" i="8" s="1"/>
  <c r="AB120" i="8" s="1"/>
  <c r="Q144" i="8"/>
  <c r="Q32" i="8"/>
  <c r="Q173" i="8"/>
  <c r="Q190" i="8"/>
  <c r="Q60" i="8"/>
  <c r="Q181" i="8"/>
  <c r="Q8" i="8"/>
  <c r="Q79" i="8"/>
  <c r="Q169" i="8"/>
  <c r="Q70" i="8"/>
  <c r="Q103" i="8"/>
  <c r="Q177" i="8"/>
  <c r="Q243" i="8"/>
  <c r="Q63" i="8"/>
  <c r="Q89" i="8"/>
  <c r="Q122" i="8"/>
  <c r="Q249" i="8"/>
  <c r="Q117" i="8"/>
  <c r="Q259" i="8"/>
  <c r="Q270" i="8"/>
  <c r="Q110" i="8"/>
  <c r="Q153" i="8"/>
  <c r="Q36" i="8"/>
  <c r="Q55" i="8"/>
  <c r="AB115" i="8" l="1"/>
  <c r="AB94" i="8" s="1"/>
  <c r="AB29" i="8" s="1"/>
  <c r="AB7" i="8" s="1"/>
  <c r="Q168" i="8"/>
  <c r="Q95" i="8"/>
  <c r="Q254" i="8"/>
  <c r="Q292" i="8"/>
  <c r="Q189" i="8"/>
  <c r="Q31" i="8"/>
  <c r="Q109" i="8"/>
  <c r="Q116" i="8"/>
  <c r="Q121" i="8"/>
  <c r="Q152" i="8"/>
  <c r="Q248" i="8"/>
  <c r="Q35" i="8"/>
  <c r="Q73" i="8"/>
  <c r="Q238" i="8"/>
  <c r="Z122" i="8"/>
  <c r="Z121" i="8" s="1"/>
  <c r="Z120" i="8" s="1"/>
  <c r="Z115" i="8" s="1"/>
  <c r="Z94" i="8" s="1"/>
  <c r="Z29" i="8" s="1"/>
  <c r="Z7" i="8" s="1"/>
  <c r="Z293" i="8"/>
  <c r="Z292" i="8" s="1"/>
  <c r="Z291" i="8" s="1"/>
  <c r="Z290" i="8" s="1"/>
  <c r="Z289" i="8" s="1"/>
  <c r="AC289" i="8" s="1"/>
  <c r="Q47" i="8"/>
  <c r="Q247" i="8" l="1"/>
  <c r="Q291" i="8"/>
  <c r="Q30" i="8"/>
  <c r="Q120" i="8"/>
  <c r="Q108" i="8"/>
  <c r="Q188" i="8"/>
  <c r="Q212" i="8" l="1"/>
  <c r="Q115" i="8"/>
  <c r="Q107" i="8"/>
  <c r="Q290" i="8"/>
  <c r="Q187" i="8" l="1"/>
  <c r="Q94" i="8"/>
  <c r="Q289" i="8"/>
  <c r="Q186" i="8" l="1"/>
  <c r="Q29" i="8"/>
  <c r="Q7" i="8" l="1"/>
  <c r="T330" i="8" l="1"/>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Olga Milena González Gómez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t>
        </r>
      </text>
    </comment>
    <comment ref="Q81" authorId="1" shapeId="0">
      <text>
        <r>
          <rPr>
            <b/>
            <sz val="9"/>
            <color indexed="81"/>
            <rFont val="Tahoma"/>
            <charset val="1"/>
          </rPr>
          <t>Angie Dayana Hernandez Lobaton:</t>
        </r>
        <r>
          <rPr>
            <sz val="9"/>
            <color indexed="81"/>
            <rFont val="Tahoma"/>
            <charset val="1"/>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4"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6"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38"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39" authorId="1" shapeId="0">
      <text>
        <r>
          <rPr>
            <b/>
            <sz val="9"/>
            <color indexed="81"/>
            <rFont val="Tahoma"/>
            <charset val="1"/>
          </rPr>
          <t>Angie Dayana Hernandez Lobaton:</t>
        </r>
        <r>
          <rPr>
            <sz val="9"/>
            <color indexed="81"/>
            <rFont val="Tahoma"/>
            <charset val="1"/>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2" authorId="1" shapeId="0">
      <text>
        <r>
          <rPr>
            <b/>
            <sz val="9"/>
            <color indexed="81"/>
            <rFont val="Tahoma"/>
            <charset val="1"/>
          </rPr>
          <t>Angie Dayana Hernandez Lobaton:</t>
        </r>
        <r>
          <rPr>
            <sz val="9"/>
            <color indexed="81"/>
            <rFont val="Tahoma"/>
            <charset val="1"/>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3"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Q155"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7"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59"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3"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4"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6"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6"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79"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199"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08"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6"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7"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18"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19"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0"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1"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2"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3"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4"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6"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7"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28"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29"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2"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5"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6"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7"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t>
        </r>
      </text>
    </comment>
    <comment ref="Q251"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Q253" authorId="1" shapeId="0">
      <text>
        <r>
          <rPr>
            <b/>
            <sz val="9"/>
            <color indexed="81"/>
            <rFont val="Tahoma"/>
            <charset val="1"/>
          </rPr>
          <t>Angie Dayana Hernandez Lobaton:</t>
        </r>
        <r>
          <rPr>
            <sz val="9"/>
            <color indexed="81"/>
            <rFont val="Tahoma"/>
            <charset val="1"/>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6" authorId="2"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7" authorId="2"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58" authorId="3"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2"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3"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68"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94"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t>
        </r>
      </text>
    </comment>
    <comment ref="Q295"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t>
        </r>
      </text>
    </comment>
    <comment ref="Q301" authorId="1" shapeId="0">
      <text>
        <r>
          <rPr>
            <b/>
            <sz val="9"/>
            <color indexed="81"/>
            <rFont val="Tahoma"/>
            <charset val="1"/>
          </rPr>
          <t>Angie Dayana Hernandez Lobaton:</t>
        </r>
        <r>
          <rPr>
            <sz val="9"/>
            <color indexed="81"/>
            <rFont val="Tahoma"/>
            <charset val="1"/>
          </rPr>
          <t xml:space="preserve">
Se recibe traslado por valor de $30,000,000
oficio I-2022-02982 Id: 42956</t>
        </r>
      </text>
    </comment>
    <comment ref="Q302"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3"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4"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5"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13" authorId="2" shapeId="0">
      <text>
        <r>
          <rPr>
            <b/>
            <sz val="9"/>
            <color indexed="81"/>
            <rFont val="Tahoma"/>
            <family val="2"/>
          </rPr>
          <t>Olga Milena González Gómez:</t>
        </r>
        <r>
          <rPr>
            <sz val="9"/>
            <color indexed="81"/>
            <rFont val="Tahoma"/>
            <family val="2"/>
          </rPr>
          <t xml:space="preserve">
Cambios en el Proyecto Inversión. OFICIO ID:32244</t>
        </r>
      </text>
    </comment>
  </commentList>
</comments>
</file>

<file path=xl/sharedStrings.xml><?xml version="1.0" encoding="utf-8"?>
<sst xmlns="http://schemas.openxmlformats.org/spreadsheetml/2006/main" count="4131" uniqueCount="730">
  <si>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</si>
  <si>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</si>
  <si>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</si>
  <si>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</si>
  <si>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</si>
  <si>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</si>
  <si>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</si>
  <si>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</si>
  <si>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</si>
  <si>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</si>
  <si>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</si>
  <si>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</si>
  <si>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</si>
  <si>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</si>
  <si>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</si>
  <si>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</si>
  <si>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</si>
  <si>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</si>
  <si>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</si>
  <si>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</si>
  <si>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</si>
  <si>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</si>
  <si>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</si>
  <si>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</si>
  <si>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</si>
  <si>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</si>
  <si>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</si>
  <si>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</si>
  <si>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</si>
  <si>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</si>
  <si>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</si>
  <si>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</si>
  <si>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</si>
  <si>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</si>
  <si>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</si>
  <si>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</si>
  <si>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</si>
  <si>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</si>
  <si>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</si>
  <si>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</si>
  <si>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</si>
  <si>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</si>
  <si>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</si>
  <si>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</si>
  <si>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</si>
  <si>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</si>
  <si>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</si>
  <si>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</si>
  <si>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</si>
  <si>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</si>
  <si>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</si>
  <si>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</si>
  <si>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</si>
  <si>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</si>
  <si>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</si>
  <si>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</si>
  <si>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</si>
  <si>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</si>
  <si>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</si>
  <si>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</si>
  <si>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</si>
  <si>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</si>
  <si>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</si>
  <si>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</si>
  <si>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</si>
  <si>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</si>
  <si>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</si>
  <si>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</si>
  <si>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</si>
  <si>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</si>
  <si>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</si>
  <si>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</si>
  <si>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</si>
  <si>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</si>
  <si>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</si>
  <si>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</si>
  <si>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</si>
  <si>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</si>
  <si>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</si>
  <si>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</si>
  <si>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</si>
  <si>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</si>
  <si>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</si>
  <si>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</si>
  <si>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</si>
  <si>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</si>
  <si>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</si>
  <si>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</si>
  <si>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</si>
  <si>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</si>
  <si>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</si>
  <si>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</si>
  <si>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</si>
  <si>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</si>
  <si>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</si>
  <si>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</si>
  <si>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</si>
  <si>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</si>
  <si>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</si>
  <si>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</si>
  <si>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</si>
  <si>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</si>
  <si>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</si>
  <si>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</si>
  <si>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</si>
  <si>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</si>
  <si>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</si>
  <si>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</si>
  <si>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</si>
  <si>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</si>
  <si>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</si>
  <si>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</si>
  <si>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</si>
  <si>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</si>
  <si>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</si>
  <si>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</si>
  <si>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</si>
  <si>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</si>
  <si>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</si>
  <si>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</si>
  <si>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</si>
  <si>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</si>
  <si>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</si>
  <si>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</si>
  <si>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</si>
  <si>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</si>
  <si>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</si>
  <si>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</si>
  <si>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</si>
  <si>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</si>
  <si>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</si>
  <si>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</si>
  <si>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</si>
  <si>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</si>
  <si>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</si>
  <si>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</si>
  <si>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</si>
  <si>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</si>
  <si>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</si>
  <si>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</si>
  <si>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</si>
  <si>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</si>
  <si>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</si>
  <si>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</si>
  <si>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</si>
  <si>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</si>
  <si>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</si>
  <si>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</si>
  <si>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</si>
  <si>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</si>
  <si>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</si>
  <si>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</si>
  <si>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</si>
  <si>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</si>
  <si>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</si>
  <si>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</si>
  <si>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</si>
  <si>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</si>
  <si>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</si>
  <si>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</si>
  <si>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</si>
  <si>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</si>
  <si>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</si>
  <si>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</si>
  <si>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</si>
  <si>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</si>
  <si>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</si>
  <si>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</si>
  <si>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</si>
  <si>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</si>
  <si>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</si>
  <si>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</si>
  <si>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</si>
  <si>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</si>
  <si>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</si>
  <si>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</si>
  <si>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</si>
  <si>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</si>
  <si>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</si>
  <si>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</si>
  <si>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</si>
  <si>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</si>
  <si>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</si>
  <si>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</si>
  <si>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</si>
  <si>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</si>
  <si>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</si>
  <si>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</si>
  <si>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</si>
  <si>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</si>
  <si>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</si>
  <si>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</si>
  <si>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</si>
  <si>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</si>
  <si>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</si>
  <si>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</si>
  <si>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</si>
  <si>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</si>
  <si>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</si>
  <si>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</si>
  <si>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</si>
  <si>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</si>
  <si>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</si>
  <si>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</si>
  <si>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</si>
  <si>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</si>
  <si>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</si>
  <si>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</si>
  <si>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</si>
  <si>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</si>
  <si>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</si>
  <si>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</si>
  <si>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</si>
  <si>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</si>
  <si>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</si>
  <si>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</si>
  <si>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</si>
  <si>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</si>
  <si>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</si>
  <si>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</si>
  <si>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</si>
  <si>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</si>
  <si>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</si>
  <si>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</si>
  <si>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</si>
  <si>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</si>
  <si>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</si>
  <si>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</si>
  <si>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</si>
  <si>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</si>
  <si>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</si>
  <si>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</si>
  <si>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</si>
  <si>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</si>
  <si>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</si>
  <si>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</si>
  <si>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</si>
  <si>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</si>
  <si>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</si>
  <si>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</si>
  <si>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</si>
  <si>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</si>
  <si>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</si>
  <si>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</si>
  <si>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</si>
  <si>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</si>
  <si>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</si>
  <si>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</si>
  <si>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</si>
  <si>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</si>
  <si>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</si>
  <si>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</si>
  <si>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</si>
  <si>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</si>
  <si>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</si>
  <si>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</si>
  <si>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</si>
  <si>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</si>
  <si>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</si>
  <si>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</si>
  <si>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</si>
  <si>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</si>
  <si>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</si>
  <si>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</si>
  <si>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</si>
  <si>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</si>
  <si>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</si>
  <si>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</si>
  <si>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</si>
  <si>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</si>
  <si>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</si>
  <si>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</si>
  <si>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</si>
  <si>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</si>
  <si>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</si>
  <si>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</si>
  <si>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</si>
  <si>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</si>
  <si>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</si>
  <si>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</si>
  <si>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</si>
  <si>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</si>
  <si>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</si>
  <si>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</si>
  <si>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</si>
  <si>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</si>
  <si>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</si>
  <si>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</si>
  <si>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</si>
  <si>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</si>
  <si>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</si>
  <si>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</si>
  <si>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</si>
  <si>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</si>
  <si>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</si>
  <si>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</si>
  <si>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</si>
  <si>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</si>
  <si>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</si>
  <si>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</si>
  <si>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</si>
  <si>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</si>
  <si>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</si>
  <si>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</si>
  <si>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</si>
  <si>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</si>
  <si>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</si>
  <si>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</si>
  <si>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</si>
  <si>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</si>
  <si>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</si>
  <si>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</si>
  <si>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</si>
  <si>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</si>
  <si>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</si>
  <si>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</si>
  <si>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</si>
  <si>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</si>
  <si>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</si>
  <si>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</si>
  <si>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</si>
  <si>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</si>
  <si>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</si>
  <si>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</si>
  <si>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</si>
  <si>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</si>
  <si>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</si>
  <si>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</si>
  <si>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</si>
  <si>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</si>
  <si>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</si>
  <si>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</si>
  <si>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</si>
  <si>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</si>
  <si>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</si>
  <si>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</si>
  <si>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</si>
  <si>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</si>
  <si>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</si>
  <si>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</si>
  <si>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</si>
  <si>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</si>
  <si>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</si>
  <si>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</si>
  <si>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</si>
  <si>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</si>
  <si>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</si>
  <si>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</si>
  <si>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</si>
  <si>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</si>
  <si>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</si>
  <si>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</si>
  <si>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</si>
  <si>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</si>
  <si>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</si>
  <si>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</si>
  <si>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</si>
  <si>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</si>
  <si>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</si>
  <si>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</si>
  <si>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</si>
  <si>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</si>
  <si>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</si>
  <si>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</si>
  <si>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</si>
  <si>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</si>
  <si>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</si>
  <si>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</si>
  <si>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</si>
  <si>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</si>
  <si>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</si>
  <si>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</si>
  <si>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</si>
  <si>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</si>
  <si>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</si>
  <si>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</si>
  <si>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</si>
  <si>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</si>
  <si>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</si>
  <si>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</si>
  <si>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</si>
  <si>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</si>
  <si>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</si>
  <si>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</si>
  <si>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</si>
  <si>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</si>
  <si>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</si>
  <si>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</si>
  <si>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</si>
  <si>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</si>
  <si>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</si>
  <si>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</si>
  <si>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</si>
  <si>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</si>
  <si>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</si>
  <si>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</si>
  <si>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</si>
  <si>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</si>
  <si>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</si>
  <si>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</si>
  <si>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</si>
  <si>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</si>
  <si>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</si>
  <si>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</si>
  <si>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</si>
  <si>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</si>
  <si>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</si>
  <si>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</si>
  <si>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</si>
  <si>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</si>
  <si>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</si>
  <si>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</si>
  <si>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</si>
  <si>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</si>
  <si>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</si>
  <si>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</si>
  <si>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</si>
  <si>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</si>
  <si>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</si>
  <si>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</si>
  <si>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</si>
  <si>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</si>
  <si>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</si>
  <si>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</si>
  <si>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</si>
  <si>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</si>
  <si>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</si>
  <si>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</si>
  <si>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</si>
  <si>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</si>
  <si>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</si>
  <si>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</si>
  <si>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</si>
  <si>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</si>
  <si>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</si>
  <si>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</si>
  <si>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</si>
  <si>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</si>
  <si>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</si>
  <si>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</si>
  <si>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</si>
  <si>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</si>
  <si>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</si>
  <si>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</si>
  <si>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</si>
  <si>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</si>
  <si>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</si>
  <si>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</si>
  <si>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</si>
  <si>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</si>
  <si>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</si>
  <si>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</si>
  <si>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</si>
  <si>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</si>
  <si>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</si>
  <si>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</si>
  <si>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</si>
  <si>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</si>
  <si>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</si>
  <si>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</si>
  <si>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</si>
  <si>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</si>
  <si>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</si>
  <si>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</si>
  <si>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</si>
  <si>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</si>
  <si>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</si>
  <si>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</si>
  <si>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</si>
  <si>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</si>
  <si>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</si>
  <si>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</si>
  <si>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</si>
  <si>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</si>
  <si>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</si>
  <si>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</si>
  <si>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</si>
  <si>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</si>
  <si>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</si>
  <si>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</si>
  <si>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</si>
  <si>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</si>
  <si>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</si>
  <si>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</si>
  <si>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</si>
  <si>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</si>
  <si>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</si>
  <si>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</si>
  <si>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</si>
  <si>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</si>
  <si>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</si>
  <si>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</si>
  <si>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</si>
  <si>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</si>
  <si>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</si>
  <si>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</si>
  <si>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</si>
  <si>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</si>
  <si>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</si>
  <si>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</si>
  <si>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</si>
  <si>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</si>
  <si>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</si>
  <si>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</si>
  <si>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</si>
  <si>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</si>
  <si>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</si>
  <si>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</si>
  <si>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</si>
  <si>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</si>
  <si>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</si>
  <si>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</si>
  <si>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</si>
  <si>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</si>
  <si>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</si>
  <si>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</si>
  <si>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</si>
  <si>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</si>
  <si>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</si>
  <si>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</si>
  <si>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</si>
  <si>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</si>
  <si>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</si>
  <si>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</si>
  <si>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</si>
  <si>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</si>
  <si>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</si>
  <si>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</si>
  <si>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</si>
  <si>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</si>
  <si>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</si>
  <si>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</si>
  <si>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</si>
  <si>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</si>
  <si>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</si>
  <si>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</si>
  <si>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</si>
  <si>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</si>
  <si>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</si>
  <si>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</si>
  <si>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</si>
  <si>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</si>
  <si>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</si>
  <si>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</si>
  <si>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</si>
  <si>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</si>
  <si>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</si>
  <si>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</si>
  <si>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</si>
  <si>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</si>
  <si>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</si>
  <si>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</si>
  <si>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</si>
  <si>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</si>
  <si>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</si>
  <si>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</si>
  <si>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</si>
  <si>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</si>
  <si>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</si>
  <si>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</si>
  <si>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</si>
  <si>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</si>
  <si>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</si>
  <si>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</si>
  <si>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</si>
  <si>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</si>
  <si>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BOLSA DE REPUESTOS PARA EL MANTENIMIENTO CORRECTIVO Y PREVENTIVO A TODO COSTO DE LOS COMPUTADORES Y ELEMENTOS DE HARDWARE QUE COMPONEN LA INFRAESTRUCTURA TECNOLÓGICA Y RED DE DATOS CON EQUIPOS ACTIVOS Y CENTROS DE CABLEADO.</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</si>
  <si>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</si>
  <si>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</si>
  <si>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</si>
  <si>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</si>
  <si>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</si>
  <si>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</si>
  <si>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</si>
  <si>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AYUDANTIA SUBDIRECCION</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</si>
  <si>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</si>
  <si>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</si>
  <si>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</si>
  <si>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</si>
  <si>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</si>
  <si>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</si>
  <si>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</si>
  <si>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</si>
  <si>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</si>
  <si>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</si>
  <si>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</si>
  <si>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</si>
  <si>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</si>
  <si>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</si>
  <si>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</si>
  <si>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</si>
  <si>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</si>
  <si>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</si>
  <si>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</si>
  <si>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</si>
  <si>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</si>
  <si>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</si>
  <si>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</si>
  <si>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</si>
  <si>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</si>
  <si>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</si>
  <si>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</si>
  <si>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</si>
  <si>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</si>
  <si>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</si>
  <si>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</si>
  <si>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</si>
  <si>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</si>
  <si>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</si>
  <si>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</si>
  <si>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</si>
  <si>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</si>
  <si>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</si>
  <si>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</si>
  <si>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</si>
  <si>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</si>
  <si>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</si>
  <si>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</si>
  <si>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</si>
  <si>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</si>
  <si>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</si>
  <si>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</si>
  <si>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</si>
  <si>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</si>
  <si>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</si>
  <si>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</si>
  <si>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</si>
  <si>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</si>
  <si>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</si>
  <si>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</si>
  <si>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</si>
  <si>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</si>
  <si>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</si>
  <si>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</si>
  <si>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c</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</si>
  <si>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</si>
  <si>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</si>
  <si>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</si>
  <si>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</si>
  <si>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</si>
  <si>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</si>
  <si>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</si>
  <si>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</si>
  <si>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</si>
  <si>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</si>
  <si>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</si>
  <si>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</si>
  <si>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</si>
  <si>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</si>
  <si>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</si>
  <si>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</si>
  <si>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</si>
  <si>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</si>
  <si>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</si>
  <si>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</si>
  <si>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</si>
  <si>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</si>
  <si>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</si>
  <si>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</si>
  <si>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</si>
  <si>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</si>
  <si>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</si>
  <si>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</si>
  <si>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</si>
  <si>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</si>
  <si>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</si>
  <si>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</si>
  <si>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</si>
  <si>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</si>
  <si>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</si>
  <si>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</si>
  <si>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</si>
  <si>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</si>
  <si>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</si>
  <si>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</si>
  <si>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</si>
  <si>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</si>
  <si>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ver hoja 2</t>
  </si>
  <si>
    <t>ver hoja 3</t>
  </si>
  <si>
    <t>CONTABILIDAD</t>
  </si>
  <si>
    <t>06/012022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</si>
  <si>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</si>
  <si>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</si>
  <si>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</si>
  <si>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</si>
  <si>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</si>
  <si>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</si>
  <si>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SERVICIO DE INSPECCIÓN CERTIFICADA PARA EQUIPOS PARA TRABAJO
SEGURO EN ALTURAS (INCLUYE MANTENIMIENTO DE LOS EQUIPOS).</t>
  </si>
  <si>
    <t xml:space="preserve">MINIMA CUANTIA </t>
  </si>
  <si>
    <t xml:space="preserve">SUMINISTRO Y RECARGA DE EXTINTORES </t>
  </si>
  <si>
    <t>Junio</t>
  </si>
  <si>
    <t>GESTION INTEGRAL</t>
  </si>
  <si>
    <t xml:space="preserve">SELECCIÓN ABREVIADA MENOR CUANTIA  </t>
  </si>
  <si>
    <t xml:space="preserve">                                                                     </t>
  </si>
  <si>
    <t>No</t>
  </si>
  <si>
    <t>3122-3622-3722</t>
  </si>
  <si>
    <t>3012-10822</t>
  </si>
  <si>
    <t>28/01/2022-12/01/2022</t>
  </si>
  <si>
    <t>Compromiso</t>
  </si>
  <si>
    <t>Disponibilidad</t>
  </si>
  <si>
    <t>CDP por comprometer</t>
  </si>
  <si>
    <t>34222-8722-27622-46922-49222</t>
  </si>
  <si>
    <t>9922-10022-11422-16322-16522-17222-18022-20022-2012-22222-24222-26822-27522-27822-29422</t>
  </si>
  <si>
    <t>6022-11922-12122-18422-43622</t>
  </si>
  <si>
    <t>19722-34022-40522-50322</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</si>
  <si>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</si>
  <si>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</si>
  <si>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</si>
  <si>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</si>
  <si>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</si>
  <si>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</si>
  <si>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Mantenimiento de cubiertas a todo costo de las viviendas fiscales y áreas comunes para el personal de oficiales y suboficiales en la seccional de
Tolemaida.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</si>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</sst>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_(&quot;$&quot;* #,##0_);_(&quot;$&quot;* \(#,##0\);_(&quot;$&quot;* &quot;-&quot;_);_(@_)"/>
    <numFmt numFmtId="167" formatCode="&quot;$&quot;\ #,##0"/>
    <numFmt numFmtId="168" formatCode="dd/mm/yyyy;@"/>
    <numFmt numFmtId="169" formatCode="&quot;$&quot;\ #,##0.00"/>
    <numFmt numFmtId="170" formatCode="&quot;$&quot;\ #,##0.0"/>
    <numFmt numFmtId="171" formatCode="_-&quot;$&quot;\ * #,##0.0_-;\-&quot;$&quot;\ * #,##0.0_-;_-&quot;$&quot;\ * &quot;-&quot;??_-;_-@_-"/>
    <numFmt numFmtId="172" formatCode="#,##0.00_ ;[Red]\-#,##0.00\ "/>
  </numFmts>
  <fonts count="1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9"/>
      <color indexed="81"/>
      <name val="Tahoma"/>
      <charset val="1"/>
    </font>
    <font>
      <b/>
      <sz val="9"/>
      <color indexed="81"/>
      <name val="Tahoma"/>
      <charset val="1"/>
    </font>
  </fonts>
  <fills count="33">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CDCDC"/>
        <bgColor indexed="64"/>
      </patternFill>
    </fill>
    <fill>
      <patternFill patternType="solid">
        <fgColor rgb="FF00B05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0">
    <xf numFmtId="0" fontId="0" fillId="0" borderId="0"/>
    <xf numFmtId="0" fontId="2" fillId="0" borderId="0"/>
    <xf numFmtId="165" fontId="2" fillId="0" borderId="0" applyFont="0" applyFill="0" applyBorder="0" applyAlignment="0" applyProtection="0"/>
    <xf numFmtId="0" fontId="6" fillId="3" borderId="0" applyNumberFormat="0" applyBorder="0" applyAlignment="0" applyProtection="0"/>
    <xf numFmtId="166"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164" fontId="2" fillId="0" borderId="0" applyFont="0" applyFill="0" applyBorder="0" applyAlignment="0" applyProtection="0"/>
  </cellStyleXfs>
  <cellXfs count="768">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7"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7"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7"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7"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7"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7"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7"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7"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7"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7"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7"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7"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7"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7"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7"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7"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7"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7"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7"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7"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7"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7"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7" fontId="4" fillId="24" borderId="1" xfId="2" applyNumberFormat="1" applyFont="1" applyFill="1" applyBorder="1" applyAlignment="1">
      <alignment horizontal="right" vertical="center" wrapText="1"/>
    </xf>
    <xf numFmtId="167" fontId="4" fillId="24" borderId="4" xfId="2" applyNumberFormat="1" applyFont="1" applyFill="1" applyBorder="1" applyAlignment="1">
      <alignment horizontal="right" vertical="center" wrapText="1"/>
    </xf>
    <xf numFmtId="167" fontId="12" fillId="24" borderId="1" xfId="2" applyNumberFormat="1" applyFont="1" applyFill="1" applyBorder="1" applyAlignment="1">
      <alignment horizontal="right" vertical="center" wrapText="1"/>
    </xf>
    <xf numFmtId="168" fontId="1" fillId="0" borderId="0" xfId="0" applyNumberFormat="1" applyFont="1" applyAlignment="1">
      <alignment horizontal="center"/>
    </xf>
    <xf numFmtId="168" fontId="10" fillId="6" borderId="1" xfId="2" applyNumberFormat="1" applyFont="1" applyFill="1" applyBorder="1" applyAlignment="1">
      <alignment horizontal="center" vertical="center" wrapText="1"/>
    </xf>
    <xf numFmtId="168" fontId="4" fillId="11" borderId="1" xfId="2" applyNumberFormat="1" applyFont="1" applyFill="1" applyBorder="1" applyAlignment="1">
      <alignment horizontal="center" vertical="center" wrapText="1"/>
    </xf>
    <xf numFmtId="168" fontId="4" fillId="4" borderId="1" xfId="2" applyNumberFormat="1" applyFont="1" applyFill="1" applyBorder="1" applyAlignment="1">
      <alignment horizontal="center" vertical="center" wrapText="1"/>
    </xf>
    <xf numFmtId="168" fontId="4" fillId="20" borderId="1" xfId="2" applyNumberFormat="1" applyFont="1" applyFill="1" applyBorder="1" applyAlignment="1">
      <alignment horizontal="center" vertical="center" wrapText="1"/>
    </xf>
    <xf numFmtId="168" fontId="4" fillId="2" borderId="1" xfId="2" applyNumberFormat="1" applyFont="1" applyFill="1" applyBorder="1" applyAlignment="1">
      <alignment horizontal="center" vertical="center" wrapText="1"/>
    </xf>
    <xf numFmtId="168" fontId="4" fillId="21" borderId="1" xfId="2" applyNumberFormat="1" applyFont="1" applyFill="1" applyBorder="1" applyAlignment="1">
      <alignment horizontal="center" vertical="center" wrapText="1"/>
    </xf>
    <xf numFmtId="168" fontId="4" fillId="22" borderId="1" xfId="2" applyNumberFormat="1" applyFont="1" applyFill="1" applyBorder="1" applyAlignment="1">
      <alignment horizontal="center" vertical="center" wrapText="1"/>
    </xf>
    <xf numFmtId="168" fontId="4" fillId="0" borderId="1" xfId="2" applyNumberFormat="1" applyFont="1" applyFill="1" applyBorder="1" applyAlignment="1">
      <alignment horizontal="center" vertical="center" wrapText="1"/>
    </xf>
    <xf numFmtId="168" fontId="4" fillId="23" borderId="1" xfId="2" applyNumberFormat="1" applyFont="1" applyFill="1" applyBorder="1" applyAlignment="1">
      <alignment horizontal="center" vertical="center" wrapText="1"/>
    </xf>
    <xf numFmtId="168" fontId="10" fillId="13" borderId="1" xfId="2" applyNumberFormat="1" applyFont="1" applyFill="1" applyBorder="1" applyAlignment="1">
      <alignment horizontal="center" vertical="center" wrapText="1"/>
    </xf>
    <xf numFmtId="168" fontId="10" fillId="12" borderId="1" xfId="2" applyNumberFormat="1" applyFont="1" applyFill="1" applyBorder="1" applyAlignment="1">
      <alignment horizontal="center" vertical="center" wrapText="1"/>
    </xf>
    <xf numFmtId="168" fontId="4" fillId="7" borderId="1" xfId="2" applyNumberFormat="1" applyFont="1" applyFill="1" applyBorder="1" applyAlignment="1">
      <alignment horizontal="center" vertical="center" wrapText="1"/>
    </xf>
    <xf numFmtId="168" fontId="4" fillId="9" borderId="1" xfId="2" applyNumberFormat="1" applyFont="1" applyFill="1" applyBorder="1" applyAlignment="1">
      <alignment horizontal="center" vertical="center" wrapText="1"/>
    </xf>
    <xf numFmtId="168" fontId="10" fillId="15" borderId="1" xfId="2" applyNumberFormat="1" applyFont="1" applyFill="1" applyBorder="1" applyAlignment="1">
      <alignment horizontal="center" vertical="center" wrapText="1"/>
    </xf>
    <xf numFmtId="168" fontId="10" fillId="8" borderId="1" xfId="2" applyNumberFormat="1" applyFont="1" applyFill="1" applyBorder="1" applyAlignment="1">
      <alignment horizontal="center" vertical="center" wrapText="1"/>
    </xf>
    <xf numFmtId="168" fontId="10" fillId="18" borderId="1" xfId="2" applyNumberFormat="1" applyFont="1" applyFill="1" applyBorder="1" applyAlignment="1">
      <alignment horizontal="center" vertical="center" wrapText="1"/>
    </xf>
    <xf numFmtId="168" fontId="10" fillId="17" borderId="1" xfId="2" applyNumberFormat="1" applyFont="1" applyFill="1" applyBorder="1" applyAlignment="1">
      <alignment horizontal="center" vertical="center" wrapText="1"/>
    </xf>
    <xf numFmtId="168" fontId="4" fillId="16" borderId="1" xfId="2" applyNumberFormat="1" applyFont="1" applyFill="1" applyBorder="1" applyAlignment="1">
      <alignment horizontal="center" vertical="center" wrapText="1"/>
    </xf>
    <xf numFmtId="168" fontId="10" fillId="19" borderId="1" xfId="2" applyNumberFormat="1" applyFont="1" applyFill="1" applyBorder="1" applyAlignment="1">
      <alignment horizontal="center" vertical="center" wrapText="1"/>
    </xf>
    <xf numFmtId="168" fontId="4" fillId="14" borderId="1" xfId="2" applyNumberFormat="1" applyFont="1" applyFill="1" applyBorder="1" applyAlignment="1">
      <alignment horizontal="center" vertical="center" wrapText="1"/>
    </xf>
    <xf numFmtId="168" fontId="4" fillId="10" borderId="1" xfId="2" applyNumberFormat="1" applyFont="1" applyFill="1" applyBorder="1" applyAlignment="1">
      <alignment horizontal="center" vertical="center" wrapText="1"/>
    </xf>
    <xf numFmtId="168" fontId="4" fillId="21" borderId="4" xfId="2" applyNumberFormat="1" applyFont="1" applyFill="1" applyBorder="1" applyAlignment="1">
      <alignment horizontal="center" vertical="center" wrapText="1"/>
    </xf>
    <xf numFmtId="0" fontId="1" fillId="0" borderId="0" xfId="0"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167" fontId="4" fillId="25" borderId="1" xfId="2" applyNumberFormat="1" applyFont="1" applyFill="1" applyBorder="1" applyAlignment="1">
      <alignment horizontal="right" vertical="center" wrapText="1"/>
    </xf>
    <xf numFmtId="167"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7"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7" fontId="1" fillId="0" borderId="1" xfId="0" applyNumberFormat="1" applyFont="1" applyFill="1" applyBorder="1" applyAlignment="1">
      <alignment horizontal="center" vertical="center"/>
    </xf>
    <xf numFmtId="167"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7" fontId="10" fillId="12" borderId="1" xfId="0" applyNumberFormat="1" applyFont="1" applyFill="1" applyBorder="1" applyAlignment="1">
      <alignment horizontal="center" vertical="center"/>
    </xf>
    <xf numFmtId="167"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7"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8"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8" fontId="10" fillId="5" borderId="23" xfId="2" applyNumberFormat="1" applyFont="1" applyFill="1" applyBorder="1" applyAlignment="1">
      <alignment horizontal="center" vertical="center" wrapText="1"/>
    </xf>
    <xf numFmtId="167" fontId="10" fillId="5" borderId="23" xfId="2" applyNumberFormat="1" applyFont="1" applyFill="1" applyBorder="1" applyAlignment="1">
      <alignment horizontal="center" vertical="center" wrapText="1"/>
    </xf>
    <xf numFmtId="167"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7" fontId="10" fillId="15" borderId="1" xfId="0" applyNumberFormat="1" applyFont="1" applyFill="1" applyBorder="1" applyAlignment="1">
      <alignment horizontal="center" vertical="center"/>
    </xf>
    <xf numFmtId="167" fontId="13" fillId="5" borderId="23" xfId="0" applyNumberFormat="1" applyFont="1" applyFill="1" applyBorder="1" applyAlignment="1">
      <alignment horizontal="center" vertical="center"/>
    </xf>
    <xf numFmtId="167"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7" fontId="1" fillId="7" borderId="1" xfId="0" applyNumberFormat="1" applyFont="1" applyFill="1" applyBorder="1" applyAlignment="1">
      <alignment horizontal="center" vertical="center"/>
    </xf>
    <xf numFmtId="167"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8"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7" fontId="10" fillId="6" borderId="1" xfId="0" applyNumberFormat="1" applyFont="1" applyFill="1" applyBorder="1" applyAlignment="1">
      <alignment horizontal="center" vertical="center"/>
    </xf>
    <xf numFmtId="167"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7"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7" fontId="1" fillId="0" borderId="0" xfId="0" applyNumberFormat="1" applyFont="1"/>
    <xf numFmtId="0" fontId="1" fillId="5" borderId="1" xfId="0" applyFont="1" applyFill="1" applyBorder="1" applyAlignment="1">
      <alignment wrapText="1"/>
    </xf>
    <xf numFmtId="168"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7" fontId="1" fillId="5" borderId="1" xfId="0" applyNumberFormat="1" applyFont="1" applyFill="1" applyBorder="1" applyAlignment="1">
      <alignment horizontal="center" vertical="center"/>
    </xf>
    <xf numFmtId="167"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7"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7"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6"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9" fontId="4" fillId="25" borderId="1" xfId="2" applyNumberFormat="1" applyFont="1" applyFill="1" applyBorder="1" applyAlignment="1">
      <alignment horizontal="right" vertical="center" wrapText="1"/>
    </xf>
    <xf numFmtId="169" fontId="4" fillId="4" borderId="1" xfId="2" applyNumberFormat="1" applyFont="1" applyFill="1" applyBorder="1" applyAlignment="1">
      <alignment horizontal="right" vertical="center" wrapText="1"/>
    </xf>
    <xf numFmtId="169" fontId="4" fillId="20" borderId="1" xfId="2" applyNumberFormat="1" applyFont="1" applyFill="1" applyBorder="1" applyAlignment="1">
      <alignment horizontal="right" vertical="center" wrapText="1"/>
    </xf>
    <xf numFmtId="169" fontId="4" fillId="2" borderId="1" xfId="2" applyNumberFormat="1" applyFont="1" applyFill="1" applyBorder="1" applyAlignment="1">
      <alignment horizontal="right" vertical="center" wrapText="1"/>
    </xf>
    <xf numFmtId="169" fontId="10" fillId="6" borderId="1" xfId="2" applyNumberFormat="1" applyFont="1" applyFill="1" applyBorder="1" applyAlignment="1">
      <alignment horizontal="right" vertical="center" wrapText="1"/>
    </xf>
    <xf numFmtId="169" fontId="4" fillId="11" borderId="1" xfId="2" applyNumberFormat="1" applyFont="1" applyFill="1" applyBorder="1" applyAlignment="1">
      <alignment horizontal="right" vertical="center" wrapText="1"/>
    </xf>
    <xf numFmtId="169" fontId="4" fillId="0" borderId="1" xfId="2" applyNumberFormat="1" applyFont="1" applyFill="1" applyBorder="1" applyAlignment="1">
      <alignment horizontal="right" vertical="center" wrapText="1"/>
    </xf>
    <xf numFmtId="169" fontId="10" fillId="5" borderId="23" xfId="2" applyNumberFormat="1" applyFont="1" applyFill="1" applyBorder="1" applyAlignment="1">
      <alignment horizontal="right" vertical="center" wrapText="1"/>
    </xf>
    <xf numFmtId="169" fontId="4" fillId="25" borderId="1" xfId="4" applyNumberFormat="1" applyFont="1" applyFill="1" applyBorder="1" applyAlignment="1">
      <alignment vertical="center" wrapText="1"/>
    </xf>
    <xf numFmtId="169" fontId="4" fillId="25" borderId="1" xfId="4" applyNumberFormat="1" applyFont="1" applyFill="1" applyBorder="1" applyAlignment="1">
      <alignment horizontal="center" vertical="center" wrapText="1"/>
    </xf>
    <xf numFmtId="169" fontId="10" fillId="13" borderId="1" xfId="2" applyNumberFormat="1" applyFont="1" applyFill="1" applyBorder="1" applyAlignment="1">
      <alignment horizontal="right" vertical="center" wrapText="1"/>
    </xf>
    <xf numFmtId="169" fontId="10" fillId="12" borderId="1" xfId="2" applyNumberFormat="1" applyFont="1" applyFill="1" applyBorder="1" applyAlignment="1">
      <alignment horizontal="right" vertical="center" wrapText="1"/>
    </xf>
    <xf numFmtId="169" fontId="4" fillId="7" borderId="1" xfId="2" applyNumberFormat="1" applyFont="1" applyFill="1" applyBorder="1" applyAlignment="1">
      <alignment horizontal="right" vertical="center" wrapText="1"/>
    </xf>
    <xf numFmtId="169" fontId="4" fillId="9" borderId="1" xfId="2" applyNumberFormat="1" applyFont="1" applyFill="1" applyBorder="1" applyAlignment="1">
      <alignment horizontal="right" vertical="center" wrapText="1"/>
    </xf>
    <xf numFmtId="169" fontId="1" fillId="21" borderId="0" xfId="0" applyNumberFormat="1" applyFont="1" applyFill="1" applyBorder="1"/>
    <xf numFmtId="169" fontId="10" fillId="15" borderId="1" xfId="2" applyNumberFormat="1" applyFont="1" applyFill="1" applyBorder="1" applyAlignment="1">
      <alignment horizontal="right" vertical="center" wrapText="1"/>
    </xf>
    <xf numFmtId="169" fontId="10" fillId="8" borderId="1" xfId="2" applyNumberFormat="1" applyFont="1" applyFill="1" applyBorder="1" applyAlignment="1">
      <alignment horizontal="right" vertical="center" wrapText="1"/>
    </xf>
    <xf numFmtId="169" fontId="10" fillId="18" borderId="1" xfId="2" applyNumberFormat="1" applyFont="1" applyFill="1" applyBorder="1" applyAlignment="1">
      <alignment horizontal="right" vertical="center" wrapText="1"/>
    </xf>
    <xf numFmtId="169" fontId="10" fillId="17" borderId="1" xfId="2" applyNumberFormat="1" applyFont="1" applyFill="1" applyBorder="1" applyAlignment="1">
      <alignment horizontal="right" vertical="center" wrapText="1"/>
    </xf>
    <xf numFmtId="169" fontId="4" fillId="16" borderId="1" xfId="2" applyNumberFormat="1" applyFont="1" applyFill="1" applyBorder="1" applyAlignment="1">
      <alignment horizontal="right" vertical="center" wrapText="1"/>
    </xf>
    <xf numFmtId="169" fontId="4" fillId="16" borderId="26" xfId="2" applyNumberFormat="1" applyFont="1" applyFill="1" applyBorder="1" applyAlignment="1">
      <alignment horizontal="right" vertical="center" wrapText="1"/>
    </xf>
    <xf numFmtId="169" fontId="10" fillId="19" borderId="1" xfId="2" applyNumberFormat="1" applyFont="1" applyFill="1" applyBorder="1" applyAlignment="1">
      <alignment horizontal="right" vertical="center" wrapText="1"/>
    </xf>
    <xf numFmtId="169" fontId="4" fillId="14" borderId="1" xfId="2" applyNumberFormat="1" applyFont="1" applyFill="1" applyBorder="1" applyAlignment="1">
      <alignment horizontal="right" vertical="center" wrapText="1"/>
    </xf>
    <xf numFmtId="169" fontId="4" fillId="10" borderId="1" xfId="2" applyNumberFormat="1" applyFont="1" applyFill="1" applyBorder="1" applyAlignment="1">
      <alignment horizontal="right" vertical="center" wrapText="1"/>
    </xf>
    <xf numFmtId="169" fontId="9" fillId="5" borderId="1" xfId="2" applyNumberFormat="1" applyFont="1" applyFill="1" applyBorder="1" applyAlignment="1">
      <alignment horizontal="right" vertical="center" wrapText="1"/>
    </xf>
    <xf numFmtId="169"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7"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7" fontId="1" fillId="0" borderId="0" xfId="0" applyNumberFormat="1" applyFont="1" applyAlignment="1">
      <alignment vertical="center"/>
    </xf>
    <xf numFmtId="0" fontId="4" fillId="21" borderId="1" xfId="0" applyFont="1" applyFill="1" applyBorder="1" applyAlignment="1">
      <alignment vertical="center" wrapText="1"/>
    </xf>
    <xf numFmtId="169"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9" fontId="4" fillId="0" borderId="0" xfId="2" applyNumberFormat="1" applyFont="1" applyFill="1" applyBorder="1" applyAlignment="1">
      <alignment horizontal="right" vertical="center" wrapText="1"/>
    </xf>
    <xf numFmtId="169" fontId="14" fillId="26" borderId="1" xfId="2" applyNumberFormat="1" applyFont="1" applyFill="1" applyBorder="1" applyAlignment="1">
      <alignment horizontal="right" vertical="center" wrapText="1"/>
    </xf>
    <xf numFmtId="167" fontId="14" fillId="26" borderId="1" xfId="2" applyNumberFormat="1" applyFont="1" applyFill="1" applyBorder="1" applyAlignment="1">
      <alignment horizontal="right" vertical="center" wrapText="1"/>
    </xf>
    <xf numFmtId="0" fontId="1" fillId="28" borderId="0" xfId="0" applyFont="1" applyFill="1" applyBorder="1"/>
    <xf numFmtId="169" fontId="4" fillId="28" borderId="0" xfId="2" applyNumberFormat="1" applyFont="1" applyFill="1" applyBorder="1" applyAlignment="1">
      <alignment horizontal="right" vertical="center" wrapText="1"/>
    </xf>
    <xf numFmtId="0" fontId="1" fillId="0" borderId="0" xfId="0" applyFont="1" applyProtection="1">
      <protection locked="0"/>
    </xf>
    <xf numFmtId="168"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1" fillId="0" borderId="0" xfId="0" applyNumberFormat="1" applyFont="1" applyProtection="1">
      <protection locked="0"/>
    </xf>
    <xf numFmtId="14" fontId="1" fillId="0" borderId="0" xfId="0" applyNumberFormat="1" applyFont="1" applyProtection="1">
      <protection locked="0"/>
    </xf>
    <xf numFmtId="0" fontId="3" fillId="0" borderId="0" xfId="0" applyFont="1" applyProtection="1">
      <protection locked="0"/>
    </xf>
    <xf numFmtId="0" fontId="6" fillId="19" borderId="7" xfId="3" applyFont="1" applyFill="1" applyBorder="1" applyAlignment="1" applyProtection="1">
      <alignment horizontal="center" vertical="center" wrapText="1"/>
      <protection locked="0"/>
    </xf>
    <xf numFmtId="0" fontId="6" fillId="19" borderId="8" xfId="3" applyFont="1" applyFill="1" applyBorder="1" applyAlignment="1" applyProtection="1">
      <alignment horizontal="center" vertical="center" wrapText="1"/>
      <protection locked="0"/>
    </xf>
    <xf numFmtId="0" fontId="6" fillId="19" borderId="9" xfId="3" applyFont="1" applyFill="1" applyBorder="1" applyAlignment="1" applyProtection="1">
      <alignment horizontal="center" vertical="center" wrapText="1"/>
      <protection locked="0"/>
    </xf>
    <xf numFmtId="0" fontId="5" fillId="19" borderId="24" xfId="3" applyFont="1" applyFill="1" applyBorder="1" applyAlignment="1" applyProtection="1">
      <alignment horizontal="center" vertical="center" wrapText="1"/>
      <protection locked="0"/>
    </xf>
    <xf numFmtId="0" fontId="5" fillId="19" borderId="25" xfId="3" applyFont="1" applyFill="1" applyBorder="1" applyAlignment="1" applyProtection="1">
      <alignment horizontal="center" vertical="center" wrapText="1"/>
      <protection locked="0"/>
    </xf>
    <xf numFmtId="168" fontId="5" fillId="19" borderId="25" xfId="3" applyNumberFormat="1" applyFont="1" applyFill="1" applyBorder="1" applyAlignment="1" applyProtection="1">
      <alignment horizontal="center" vertical="center" wrapText="1"/>
      <protection locked="0"/>
    </xf>
    <xf numFmtId="0" fontId="5" fillId="19" borderId="27" xfId="3" applyFont="1" applyFill="1" applyBorder="1" applyAlignment="1" applyProtection="1">
      <alignment horizontal="center" vertical="center" wrapText="1"/>
      <protection locked="0"/>
    </xf>
    <xf numFmtId="0" fontId="5" fillId="19" borderId="1" xfId="3" applyNumberFormat="1" applyFont="1" applyFill="1" applyBorder="1" applyAlignment="1" applyProtection="1">
      <alignment horizontal="center" vertical="center" wrapText="1"/>
      <protection locked="0"/>
    </xf>
    <xf numFmtId="14" fontId="5" fillId="19" borderId="1" xfId="3" applyNumberFormat="1" applyFont="1" applyFill="1" applyBorder="1" applyAlignment="1" applyProtection="1">
      <alignment horizontal="center" vertical="center" wrapText="1"/>
      <protection locked="0"/>
    </xf>
    <xf numFmtId="17" fontId="5" fillId="19" borderId="1" xfId="3" applyNumberFormat="1" applyFont="1" applyFill="1" applyBorder="1" applyAlignment="1" applyProtection="1">
      <alignment horizontal="center" vertical="center" wrapText="1"/>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19"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168" fontId="10" fillId="5" borderId="23" xfId="2" applyNumberFormat="1" applyFont="1" applyFill="1" applyBorder="1" applyAlignment="1" applyProtection="1">
      <alignment horizontal="center" vertical="center" wrapText="1"/>
      <protection locked="0"/>
    </xf>
    <xf numFmtId="167" fontId="10" fillId="5" borderId="23" xfId="2" applyNumberFormat="1" applyFont="1" applyFill="1" applyBorder="1" applyAlignment="1" applyProtection="1">
      <alignment horizontal="center" vertical="center" wrapText="1"/>
      <protection locked="0"/>
    </xf>
    <xf numFmtId="167" fontId="10" fillId="5" borderId="23" xfId="0" applyNumberFormat="1" applyFont="1" applyFill="1" applyBorder="1" applyAlignment="1" applyProtection="1">
      <alignment vertical="center"/>
      <protection locked="0"/>
    </xf>
    <xf numFmtId="172" fontId="1" fillId="29" borderId="1" xfId="4" applyNumberFormat="1" applyFont="1" applyFill="1" applyBorder="1" applyAlignment="1" applyProtection="1">
      <alignment horizontal="righ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20" xfId="0" applyFont="1" applyFill="1" applyBorder="1" applyAlignment="1" applyProtection="1">
      <alignment horizontal="center" vertical="center"/>
      <protection locked="0"/>
    </xf>
    <xf numFmtId="168" fontId="10" fillId="6" borderId="1" xfId="2" applyNumberFormat="1" applyFont="1" applyFill="1" applyBorder="1" applyAlignment="1" applyProtection="1">
      <alignment horizontal="center" vertical="center" wrapText="1"/>
      <protection locked="0"/>
    </xf>
    <xf numFmtId="167" fontId="10" fillId="6" borderId="1" xfId="2" applyNumberFormat="1" applyFont="1" applyFill="1" applyBorder="1" applyAlignment="1" applyProtection="1">
      <alignment horizontal="center" vertical="center" wrapText="1"/>
      <protection locked="0"/>
    </xf>
    <xf numFmtId="167"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20" xfId="0" applyFont="1" applyFill="1" applyBorder="1" applyAlignment="1" applyProtection="1">
      <alignment horizontal="center" vertical="center"/>
      <protection locked="0"/>
    </xf>
    <xf numFmtId="168" fontId="4" fillId="11" borderId="1" xfId="2" applyNumberFormat="1" applyFont="1" applyFill="1" applyBorder="1" applyAlignment="1" applyProtection="1">
      <alignment horizontal="center" vertical="center" wrapText="1"/>
      <protection locked="0"/>
    </xf>
    <xf numFmtId="167"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right" vertical="center"/>
      <protection locked="0"/>
    </xf>
    <xf numFmtId="14" fontId="1" fillId="29" borderId="1" xfId="4" applyNumberFormat="1" applyFont="1" applyFill="1" applyBorder="1" applyAlignment="1" applyProtection="1">
      <alignment horizontal="righ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20" xfId="0" applyFont="1" applyFill="1" applyBorder="1" applyAlignment="1" applyProtection="1">
      <alignment horizontal="center" vertical="center"/>
      <protection locked="0"/>
    </xf>
    <xf numFmtId="168" fontId="4" fillId="4" borderId="1" xfId="2" applyNumberFormat="1" applyFont="1" applyFill="1" applyBorder="1" applyAlignment="1" applyProtection="1">
      <alignment horizontal="center" vertical="center" wrapText="1"/>
      <protection locked="0"/>
    </xf>
    <xf numFmtId="167"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20" xfId="0" applyFont="1" applyFill="1" applyBorder="1" applyAlignment="1" applyProtection="1">
      <alignment horizontal="center" vertical="center"/>
      <protection locked="0"/>
    </xf>
    <xf numFmtId="168" fontId="4" fillId="20" borderId="1" xfId="2" applyNumberFormat="1" applyFont="1" applyFill="1" applyBorder="1" applyAlignment="1" applyProtection="1">
      <alignment horizontal="center" vertical="center" wrapText="1"/>
      <protection locked="0"/>
    </xf>
    <xf numFmtId="167"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168" fontId="4" fillId="2" borderId="1" xfId="2" applyNumberFormat="1" applyFont="1" applyFill="1" applyBorder="1" applyAlignment="1" applyProtection="1">
      <alignment horizontal="center" vertical="center" wrapText="1"/>
      <protection locked="0"/>
    </xf>
    <xf numFmtId="167"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8"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center" vertical="center" wrapText="1"/>
      <protection locked="0"/>
    </xf>
    <xf numFmtId="169"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7"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7"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0" xfId="0" applyFont="1" applyFill="1" applyBorder="1" applyAlignment="1" applyProtection="1">
      <alignment horizontal="center" vertical="center"/>
      <protection locked="0"/>
    </xf>
    <xf numFmtId="168" fontId="4" fillId="0" borderId="1" xfId="2" applyNumberFormat="1" applyFont="1" applyFill="1" applyBorder="1" applyAlignment="1" applyProtection="1">
      <alignment horizontal="center" vertical="center" wrapText="1"/>
      <protection locked="0"/>
    </xf>
    <xf numFmtId="167"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9" borderId="26" xfId="4" applyNumberFormat="1"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9" borderId="26" xfId="4" applyNumberFormat="1" applyFont="1" applyFill="1" applyBorder="1" applyAlignment="1" applyProtection="1">
      <alignment horizontal="right"/>
      <protection locked="0"/>
    </xf>
    <xf numFmtId="14" fontId="1" fillId="29" borderId="1" xfId="4" applyNumberFormat="1" applyFont="1" applyFill="1" applyBorder="1" applyAlignment="1" applyProtection="1">
      <alignment horizontal="center"/>
      <protection locked="0"/>
    </xf>
    <xf numFmtId="0" fontId="1" fillId="21" borderId="12" xfId="0" applyFont="1" applyFill="1" applyBorder="1" applyAlignment="1" applyProtection="1">
      <alignment vertical="center"/>
      <protection locked="0"/>
    </xf>
    <xf numFmtId="0" fontId="1" fillId="21" borderId="13"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20" xfId="0" applyFont="1" applyFill="1" applyBorder="1" applyAlignment="1" applyProtection="1">
      <alignment horizontal="center" vertical="center"/>
      <protection locked="0"/>
    </xf>
    <xf numFmtId="168"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20" xfId="0" applyFont="1" applyFill="1" applyBorder="1" applyAlignment="1" applyProtection="1">
      <alignment vertical="center"/>
      <protection locked="0"/>
    </xf>
    <xf numFmtId="0" fontId="1" fillId="0" borderId="20" xfId="0" applyFont="1" applyBorder="1" applyAlignment="1" applyProtection="1">
      <alignment vertical="center"/>
      <protection locked="0"/>
    </xf>
    <xf numFmtId="0" fontId="1" fillId="21" borderId="14"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20" xfId="0" applyFont="1" applyFill="1" applyBorder="1" applyAlignment="1" applyProtection="1">
      <alignment vertical="center"/>
      <protection locked="0"/>
    </xf>
    <xf numFmtId="0" fontId="1" fillId="21" borderId="26" xfId="0" applyFont="1" applyFill="1" applyBorder="1" applyAlignment="1" applyProtection="1">
      <alignment vertical="center" wrapText="1"/>
      <protection locked="0"/>
    </xf>
    <xf numFmtId="0" fontId="1" fillId="21" borderId="34" xfId="0" applyFont="1" applyFill="1" applyBorder="1" applyAlignment="1" applyProtection="1">
      <alignment vertical="center"/>
      <protection locked="0"/>
    </xf>
    <xf numFmtId="167"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3" borderId="2" xfId="0" applyFont="1" applyFill="1" applyBorder="1" applyAlignment="1" applyProtection="1">
      <alignment horizontal="center" vertical="center"/>
      <protection locked="0"/>
    </xf>
    <xf numFmtId="164" fontId="1" fillId="29" borderId="26" xfId="9" applyFont="1" applyFill="1" applyBorder="1" applyAlignment="1" applyProtection="1">
      <alignment horizontal="right"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20" xfId="0" applyFont="1" applyFill="1" applyBorder="1" applyAlignment="1" applyProtection="1">
      <alignment horizontal="center" vertical="center"/>
      <protection locked="0"/>
    </xf>
    <xf numFmtId="168" fontId="10" fillId="13" borderId="1" xfId="2" applyNumberFormat="1" applyFont="1" applyFill="1" applyBorder="1" applyAlignment="1" applyProtection="1">
      <alignment horizontal="center" vertical="center" wrapText="1"/>
      <protection locked="0"/>
    </xf>
    <xf numFmtId="167" fontId="10" fillId="13" borderId="1" xfId="2" applyNumberFormat="1" applyFont="1" applyFill="1" applyBorder="1" applyAlignment="1" applyProtection="1">
      <alignment horizontal="center" vertical="center" wrapText="1"/>
      <protection locked="0"/>
    </xf>
    <xf numFmtId="167"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20" xfId="0" applyFont="1" applyFill="1" applyBorder="1" applyAlignment="1" applyProtection="1">
      <alignment horizontal="center" vertical="center"/>
      <protection locked="0"/>
    </xf>
    <xf numFmtId="168" fontId="10" fillId="12" borderId="1" xfId="2" applyNumberFormat="1" applyFont="1" applyFill="1" applyBorder="1" applyAlignment="1" applyProtection="1">
      <alignment horizontal="center" vertical="center" wrapText="1"/>
      <protection locked="0"/>
    </xf>
    <xf numFmtId="167"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20" xfId="0" applyFont="1" applyFill="1" applyBorder="1" applyAlignment="1" applyProtection="1">
      <alignment horizontal="center" vertical="center"/>
      <protection locked="0"/>
    </xf>
    <xf numFmtId="168" fontId="12" fillId="7" borderId="1" xfId="2" applyNumberFormat="1" applyFont="1" applyFill="1" applyBorder="1" applyAlignment="1" applyProtection="1">
      <alignment horizontal="center" vertical="center" wrapText="1"/>
      <protection locked="0"/>
    </xf>
    <xf numFmtId="167" fontId="12" fillId="7" borderId="1" xfId="2" applyNumberFormat="1" applyFont="1" applyFill="1" applyBorder="1" applyAlignment="1" applyProtection="1">
      <alignment horizontal="center" vertical="center" wrapText="1"/>
      <protection locked="0"/>
    </xf>
    <xf numFmtId="167"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20" xfId="0" applyFont="1" applyFill="1" applyBorder="1" applyAlignment="1" applyProtection="1">
      <alignment horizontal="center" vertical="center"/>
      <protection locked="0"/>
    </xf>
    <xf numFmtId="168" fontId="4" fillId="9" borderId="1" xfId="2" applyNumberFormat="1" applyFont="1" applyFill="1" applyBorder="1" applyAlignment="1" applyProtection="1">
      <alignment horizontal="center" vertical="center" wrapText="1"/>
      <protection locked="0"/>
    </xf>
    <xf numFmtId="167"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7"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Alignment="1" applyProtection="1">
      <alignment horizontal="center" vertical="center"/>
      <protection locked="0"/>
    </xf>
    <xf numFmtId="169"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20"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20"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20" xfId="0" applyFont="1" applyFill="1" applyBorder="1" applyAlignment="1" applyProtection="1">
      <alignment horizontal="center" vertical="center"/>
      <protection locked="0"/>
    </xf>
    <xf numFmtId="168" fontId="10" fillId="15" borderId="1" xfId="2" applyNumberFormat="1" applyFont="1" applyFill="1" applyBorder="1" applyAlignment="1" applyProtection="1">
      <alignment horizontal="center" vertical="center" wrapText="1"/>
      <protection locked="0"/>
    </xf>
    <xf numFmtId="167"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20" xfId="0" applyFont="1" applyFill="1" applyBorder="1" applyAlignment="1" applyProtection="1">
      <alignment horizontal="center" vertical="center"/>
      <protection locked="0"/>
    </xf>
    <xf numFmtId="168" fontId="10" fillId="8" borderId="1" xfId="2" applyNumberFormat="1" applyFont="1" applyFill="1" applyBorder="1" applyAlignment="1" applyProtection="1">
      <alignment horizontal="center" vertical="center" wrapText="1"/>
      <protection locked="0"/>
    </xf>
    <xf numFmtId="167"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20" xfId="0" applyFont="1" applyFill="1" applyBorder="1" applyAlignment="1" applyProtection="1">
      <alignment horizontal="center" vertical="center"/>
      <protection locked="0"/>
    </xf>
    <xf numFmtId="168" fontId="10" fillId="18" borderId="1" xfId="2" applyNumberFormat="1" applyFont="1" applyFill="1" applyBorder="1" applyAlignment="1" applyProtection="1">
      <alignment horizontal="center" vertical="center" wrapText="1"/>
      <protection locked="0"/>
    </xf>
    <xf numFmtId="167"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20" xfId="0" applyFont="1" applyFill="1" applyBorder="1" applyAlignment="1" applyProtection="1">
      <alignment horizontal="center" vertical="center"/>
      <protection locked="0"/>
    </xf>
    <xf numFmtId="168" fontId="10" fillId="17" borderId="1" xfId="2" applyNumberFormat="1" applyFont="1" applyFill="1" applyBorder="1" applyAlignment="1" applyProtection="1">
      <alignment horizontal="center" vertical="center" wrapText="1"/>
      <protection locked="0"/>
    </xf>
    <xf numFmtId="167"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20" xfId="0" applyFont="1" applyFill="1" applyBorder="1" applyAlignment="1" applyProtection="1">
      <alignment horizontal="center" vertical="center"/>
      <protection locked="0"/>
    </xf>
    <xf numFmtId="168"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center" vertical="center" wrapText="1"/>
      <protection locked="0"/>
    </xf>
    <xf numFmtId="167" fontId="4" fillId="16" borderId="1" xfId="2" applyNumberFormat="1" applyFont="1" applyFill="1" applyBorder="1" applyAlignment="1" applyProtection="1">
      <alignment horizontal="right" vertical="center" wrapText="1"/>
      <protection locked="0"/>
    </xf>
    <xf numFmtId="0" fontId="1" fillId="16" borderId="1" xfId="0" applyFont="1" applyFill="1" applyBorder="1" applyAlignment="1" applyProtection="1">
      <alignment vertical="center"/>
      <protection locked="0"/>
    </xf>
    <xf numFmtId="167"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20" xfId="0" applyFont="1" applyFill="1" applyBorder="1" applyAlignment="1" applyProtection="1">
      <alignment horizontal="center" vertical="center"/>
      <protection locked="0"/>
    </xf>
    <xf numFmtId="168" fontId="10" fillId="19" borderId="1" xfId="2" applyNumberFormat="1" applyFont="1" applyFill="1" applyBorder="1" applyAlignment="1" applyProtection="1">
      <alignment horizontal="center" vertical="center" wrapText="1"/>
      <protection locked="0"/>
    </xf>
    <xf numFmtId="167"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0" xfId="0" applyFont="1" applyFill="1" applyBorder="1" applyAlignment="1" applyProtection="1">
      <alignment horizontal="center" vertical="center"/>
      <protection locked="0"/>
    </xf>
    <xf numFmtId="168" fontId="4" fillId="14" borderId="1" xfId="2" applyNumberFormat="1" applyFont="1" applyFill="1" applyBorder="1" applyAlignment="1" applyProtection="1">
      <alignment horizontal="center" vertical="center" wrapText="1"/>
      <protection locked="0"/>
    </xf>
    <xf numFmtId="167"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20" xfId="0" applyFont="1" applyFill="1" applyBorder="1" applyAlignment="1" applyProtection="1">
      <alignment horizontal="center" vertical="center"/>
      <protection locked="0"/>
    </xf>
    <xf numFmtId="168" fontId="4" fillId="10" borderId="1" xfId="2" applyNumberFormat="1" applyFont="1" applyFill="1" applyBorder="1" applyAlignment="1" applyProtection="1">
      <alignment horizontal="center" vertical="center" wrapText="1"/>
      <protection locked="0"/>
    </xf>
    <xf numFmtId="167"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8" fontId="4" fillId="5" borderId="1" xfId="2" applyNumberFormat="1" applyFont="1" applyFill="1" applyBorder="1" applyAlignment="1" applyProtection="1">
      <alignment horizontal="center" vertical="center" wrapText="1"/>
      <protection locked="0"/>
    </xf>
    <xf numFmtId="167"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10" xfId="0"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1" fillId="4" borderId="21"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30" borderId="7"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wrapText="1"/>
      <protection locked="0"/>
    </xf>
    <xf numFmtId="0" fontId="1" fillId="30" borderId="8" xfId="0" applyFont="1" applyFill="1" applyBorder="1" applyAlignment="1" applyProtection="1">
      <alignment horizontal="center" vertical="center"/>
      <protection locked="0"/>
    </xf>
    <xf numFmtId="0" fontId="1" fillId="30" borderId="8" xfId="0" applyFont="1" applyFill="1" applyBorder="1" applyProtection="1">
      <protection locked="0"/>
    </xf>
    <xf numFmtId="167" fontId="1" fillId="30" borderId="9" xfId="0" applyNumberFormat="1" applyFont="1" applyFill="1" applyBorder="1" applyAlignment="1" applyProtection="1">
      <alignment vertical="center"/>
      <protection locked="0"/>
    </xf>
    <xf numFmtId="0" fontId="1" fillId="0" borderId="1" xfId="0" applyFont="1" applyBorder="1" applyProtection="1">
      <protection locked="0"/>
    </xf>
    <xf numFmtId="166" fontId="1" fillId="0" borderId="1" xfId="4" applyFont="1" applyBorder="1" applyProtection="1">
      <protection locked="0"/>
    </xf>
    <xf numFmtId="0" fontId="3" fillId="0" borderId="1" xfId="0" applyFont="1" applyBorder="1" applyProtection="1">
      <protection locked="0"/>
    </xf>
    <xf numFmtId="166" fontId="3" fillId="0" borderId="1" xfId="4" applyFont="1" applyBorder="1" applyProtection="1">
      <protection locked="0"/>
    </xf>
    <xf numFmtId="0" fontId="1" fillId="0" borderId="1" xfId="0" applyFont="1" applyBorder="1" applyAlignment="1" applyProtection="1">
      <alignment horizontal="center"/>
      <protection locked="0"/>
    </xf>
    <xf numFmtId="167" fontId="1" fillId="0" borderId="0" xfId="0" applyNumberFormat="1" applyFont="1" applyAlignment="1" applyProtection="1">
      <alignment vertical="center"/>
      <protection locked="0"/>
    </xf>
    <xf numFmtId="166" fontId="1" fillId="26" borderId="1" xfId="0" applyNumberFormat="1" applyFont="1" applyFill="1" applyBorder="1" applyProtection="1">
      <protection locked="0"/>
    </xf>
    <xf numFmtId="167" fontId="10" fillId="5" borderId="23"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2"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10" fillId="19" borderId="1" xfId="2" applyNumberFormat="1" applyFont="1" applyFill="1" applyBorder="1" applyAlignment="1" applyProtection="1">
      <alignment horizontal="right" vertical="center" wrapText="1"/>
    </xf>
    <xf numFmtId="167" fontId="12" fillId="14" borderId="1" xfId="2" applyNumberFormat="1" applyFont="1" applyFill="1" applyBorder="1" applyAlignment="1" applyProtection="1">
      <alignment horizontal="right" vertical="center" wrapText="1"/>
    </xf>
    <xf numFmtId="167" fontId="12" fillId="10" borderId="1" xfId="2" applyNumberFormat="1" applyFont="1" applyFill="1" applyBorder="1" applyAlignment="1" applyProtection="1">
      <alignment horizontal="right" vertical="center" wrapText="1"/>
    </xf>
    <xf numFmtId="167" fontId="12" fillId="4" borderId="1" xfId="2" applyNumberFormat="1" applyFont="1" applyFill="1" applyBorder="1" applyAlignment="1" applyProtection="1">
      <alignment horizontal="right" vertical="center" wrapText="1"/>
    </xf>
    <xf numFmtId="167" fontId="10" fillId="5"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0" fillId="5" borderId="23"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5" xfId="3" applyFont="1" applyFill="1" applyBorder="1" applyAlignment="1" applyProtection="1">
      <alignment horizontal="center" vertical="center" wrapText="1"/>
    </xf>
    <xf numFmtId="172" fontId="1" fillId="0" borderId="0" xfId="0" applyNumberFormat="1" applyFont="1" applyProtection="1">
      <protection locked="0"/>
    </xf>
    <xf numFmtId="172" fontId="3" fillId="0" borderId="0" xfId="0" applyNumberFormat="1" applyFont="1" applyProtection="1">
      <protection locked="0"/>
    </xf>
    <xf numFmtId="167" fontId="1" fillId="0" borderId="0" xfId="0" applyNumberFormat="1" applyFont="1" applyProtection="1">
      <protection locked="0"/>
    </xf>
    <xf numFmtId="0" fontId="1" fillId="31" borderId="26" xfId="4" applyNumberFormat="1" applyFont="1" applyFill="1" applyBorder="1" applyAlignment="1" applyProtection="1">
      <alignment horizontal="right" vertical="center"/>
      <protection locked="0"/>
    </xf>
    <xf numFmtId="14" fontId="3" fillId="31" borderId="1" xfId="4" applyNumberFormat="1" applyFont="1" applyFill="1" applyBorder="1" applyAlignment="1" applyProtection="1">
      <alignment horizontal="right" vertical="center"/>
      <protection locked="0"/>
    </xf>
    <xf numFmtId="172" fontId="1" fillId="31" borderId="1" xfId="4" applyNumberFormat="1" applyFont="1" applyFill="1" applyBorder="1" applyAlignment="1" applyProtection="1">
      <alignment horizontal="right" vertical="center"/>
    </xf>
    <xf numFmtId="14" fontId="1" fillId="31" borderId="1" xfId="4" applyNumberFormat="1" applyFont="1" applyFill="1" applyBorder="1" applyAlignment="1" applyProtection="1">
      <alignment horizontal="right" vertical="center"/>
      <protection locked="0"/>
    </xf>
    <xf numFmtId="0" fontId="3" fillId="31" borderId="26" xfId="4" applyNumberFormat="1" applyFont="1" applyFill="1" applyBorder="1" applyAlignment="1" applyProtection="1">
      <alignment horizontal="right" vertical="center"/>
      <protection locked="0"/>
    </xf>
    <xf numFmtId="0" fontId="1" fillId="29" borderId="0" xfId="0" applyNumberFormat="1" applyFont="1" applyFill="1" applyProtection="1">
      <protection locked="0"/>
    </xf>
    <xf numFmtId="14" fontId="1" fillId="29" borderId="0" xfId="0" applyNumberFormat="1" applyFont="1" applyFill="1" applyProtection="1">
      <protection locked="0"/>
    </xf>
    <xf numFmtId="166" fontId="1" fillId="31" borderId="1" xfId="4" applyFont="1" applyFill="1" applyBorder="1" applyAlignment="1" applyProtection="1">
      <alignment horizontal="right" vertical="center"/>
      <protection locked="0"/>
    </xf>
    <xf numFmtId="44" fontId="1" fillId="31" borderId="26" xfId="4" applyNumberFormat="1" applyFont="1" applyFill="1" applyBorder="1" applyAlignment="1" applyProtection="1">
      <alignment horizontal="right" vertical="center"/>
      <protection locked="0"/>
    </xf>
    <xf numFmtId="170" fontId="1" fillId="31" borderId="26" xfId="4" applyNumberFormat="1" applyFont="1" applyFill="1" applyBorder="1" applyAlignment="1" applyProtection="1">
      <alignment horizontal="right" vertical="center"/>
      <protection locked="0"/>
    </xf>
    <xf numFmtId="171" fontId="1" fillId="31" borderId="26" xfId="4" applyNumberFormat="1" applyFont="1" applyFill="1" applyBorder="1" applyAlignment="1" applyProtection="1">
      <alignment horizontal="right" vertical="center"/>
      <protection locked="0"/>
    </xf>
    <xf numFmtId="167" fontId="1" fillId="31" borderId="1" xfId="2" applyNumberFormat="1" applyFont="1" applyFill="1" applyBorder="1" applyAlignment="1" applyProtection="1">
      <alignment horizontal="right" vertical="center" wrapText="1"/>
      <protection locked="0"/>
    </xf>
    <xf numFmtId="4" fontId="1" fillId="0" borderId="0" xfId="0" applyNumberFormat="1" applyFont="1" applyProtection="1">
      <protection locked="0"/>
    </xf>
    <xf numFmtId="14" fontId="1" fillId="29" borderId="26" xfId="4" applyNumberFormat="1" applyFont="1" applyFill="1" applyBorder="1" applyAlignment="1" applyProtection="1">
      <alignment horizontal="right" vertical="center"/>
      <protection locked="0"/>
    </xf>
    <xf numFmtId="169" fontId="10" fillId="5" borderId="1" xfId="2" applyNumberFormat="1" applyFont="1" applyFill="1" applyBorder="1" applyAlignment="1" applyProtection="1">
      <alignment horizontal="right" vertical="center" wrapText="1"/>
    </xf>
    <xf numFmtId="169" fontId="4" fillId="4" borderId="1" xfId="2" applyNumberFormat="1" applyFont="1" applyFill="1" applyBorder="1" applyAlignment="1" applyProtection="1">
      <alignment horizontal="right" vertical="center" wrapText="1"/>
    </xf>
    <xf numFmtId="169" fontId="9" fillId="5" borderId="1" xfId="2" applyNumberFormat="1" applyFont="1" applyFill="1" applyBorder="1" applyAlignment="1" applyProtection="1">
      <alignment horizontal="right" vertical="center" wrapText="1"/>
    </xf>
    <xf numFmtId="1" fontId="3" fillId="31" borderId="1"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31" borderId="0" xfId="0" applyFont="1" applyFill="1" applyProtection="1">
      <protection locked="0"/>
    </xf>
    <xf numFmtId="172" fontId="3" fillId="31" borderId="1" xfId="2" applyNumberFormat="1" applyFont="1" applyFill="1" applyBorder="1" applyAlignment="1" applyProtection="1">
      <alignment horizontal="right" vertical="center" wrapText="1"/>
    </xf>
    <xf numFmtId="172" fontId="1" fillId="31" borderId="1" xfId="2" applyNumberFormat="1" applyFont="1" applyFill="1" applyBorder="1" applyAlignment="1" applyProtection="1">
      <alignment horizontal="right" vertical="center" wrapText="1"/>
    </xf>
    <xf numFmtId="172" fontId="1" fillId="32" borderId="1" xfId="4" applyNumberFormat="1" applyFont="1" applyFill="1" applyBorder="1" applyAlignment="1" applyProtection="1">
      <alignment horizontal="right" vertical="center"/>
      <protection locked="0"/>
    </xf>
    <xf numFmtId="172" fontId="1" fillId="32" borderId="1" xfId="2" applyNumberFormat="1" applyFont="1" applyFill="1" applyBorder="1" applyAlignment="1" applyProtection="1">
      <alignment horizontal="right" vertical="center" wrapText="1"/>
    </xf>
    <xf numFmtId="4" fontId="3" fillId="0" borderId="0" xfId="0" applyNumberFormat="1" applyFont="1" applyProtection="1">
      <protection locked="0"/>
    </xf>
    <xf numFmtId="169" fontId="4" fillId="21" borderId="1" xfId="2" applyNumberFormat="1" applyFont="1" applyFill="1" applyBorder="1" applyAlignment="1">
      <alignment horizontal="right" vertical="center" wrapText="1"/>
    </xf>
    <xf numFmtId="172" fontId="1" fillId="29" borderId="1" xfId="4" applyNumberFormat="1" applyFont="1" applyFill="1" applyBorder="1" applyAlignment="1" applyProtection="1">
      <alignment horizontal="right" vertical="center"/>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172" fontId="1" fillId="2" borderId="1" xfId="4" applyNumberFormat="1" applyFont="1" applyFill="1" applyBorder="1" applyAlignment="1" applyProtection="1">
      <alignment horizontal="right" vertical="center"/>
    </xf>
    <xf numFmtId="167"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14" fontId="1" fillId="2" borderId="1" xfId="4" applyNumberFormat="1" applyFont="1" applyFill="1" applyBorder="1" applyAlignment="1" applyProtection="1">
      <alignment horizontal="right" vertical="center"/>
      <protection locked="0"/>
    </xf>
    <xf numFmtId="0" fontId="1" fillId="2" borderId="26" xfId="4" applyNumberFormat="1" applyFont="1" applyFill="1" applyBorder="1" applyAlignment="1" applyProtection="1">
      <alignment horizontal="right" vertical="center"/>
      <protection locked="0"/>
    </xf>
    <xf numFmtId="0" fontId="1" fillId="21" borderId="12"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169" fontId="4" fillId="25" borderId="11" xfId="2" applyNumberFormat="1" applyFont="1" applyFill="1" applyBorder="1" applyAlignment="1">
      <alignment horizontal="center" vertical="center" wrapText="1"/>
    </xf>
    <xf numFmtId="169" fontId="4" fillId="25" borderId="32" xfId="2" applyNumberFormat="1" applyFont="1" applyFill="1" applyBorder="1" applyAlignment="1">
      <alignment horizontal="center" vertical="center" wrapText="1"/>
    </xf>
    <xf numFmtId="169" fontId="4" fillId="25" borderId="6" xfId="2" applyNumberFormat="1" applyFont="1" applyFill="1" applyBorder="1" applyAlignment="1">
      <alignment horizontal="center" vertical="center" wrapText="1"/>
    </xf>
    <xf numFmtId="169" fontId="4" fillId="25" borderId="11" xfId="4" applyNumberFormat="1" applyFont="1" applyFill="1" applyBorder="1" applyAlignment="1">
      <alignment horizontal="center" vertical="center" wrapText="1"/>
    </xf>
    <xf numFmtId="169" fontId="4" fillId="25" borderId="32" xfId="4" applyNumberFormat="1" applyFont="1" applyFill="1" applyBorder="1" applyAlignment="1">
      <alignment horizontal="center" vertical="center" wrapText="1"/>
    </xf>
    <xf numFmtId="169" fontId="4" fillId="25" borderId="6" xfId="4"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7" fontId="4" fillId="25" borderId="11" xfId="2" applyNumberFormat="1" applyFont="1" applyFill="1" applyBorder="1" applyAlignment="1">
      <alignment horizontal="center" vertical="center" wrapText="1"/>
    </xf>
    <xf numFmtId="167" fontId="4" fillId="25" borderId="32" xfId="2" applyNumberFormat="1" applyFont="1" applyFill="1" applyBorder="1" applyAlignment="1">
      <alignment horizontal="center" vertical="center" wrapText="1"/>
    </xf>
    <xf numFmtId="167" fontId="4" fillId="25" borderId="6"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6" fontId="4" fillId="25" borderId="11" xfId="4" applyFont="1" applyFill="1" applyBorder="1" applyAlignment="1">
      <alignment horizontal="center" vertical="center" wrapText="1"/>
    </xf>
    <xf numFmtId="166" fontId="4" fillId="25" borderId="32" xfId="4" applyFont="1" applyFill="1" applyBorder="1" applyAlignment="1">
      <alignment horizontal="center" vertical="center" wrapText="1"/>
    </xf>
    <xf numFmtId="166" fontId="4" fillId="25" borderId="6" xfId="4" applyFont="1" applyFill="1" applyBorder="1" applyAlignment="1">
      <alignment horizontal="center" vertical="center" wrapText="1"/>
    </xf>
    <xf numFmtId="167" fontId="4" fillId="25" borderId="11" xfId="2" applyNumberFormat="1" applyFont="1" applyFill="1" applyBorder="1" applyAlignment="1">
      <alignment horizontal="right" vertical="center" wrapText="1"/>
    </xf>
    <xf numFmtId="167" fontId="4" fillId="25" borderId="32" xfId="2" applyNumberFormat="1" applyFont="1" applyFill="1" applyBorder="1" applyAlignment="1">
      <alignment horizontal="right" vertical="center" wrapText="1"/>
    </xf>
    <xf numFmtId="167" fontId="4" fillId="25" borderId="6" xfId="2" applyNumberFormat="1" applyFont="1" applyFill="1" applyBorder="1" applyAlignment="1">
      <alignment horizontal="right"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169" fontId="4" fillId="25" borderId="11" xfId="2" applyNumberFormat="1" applyFont="1" applyFill="1" applyBorder="1" applyAlignment="1">
      <alignment horizontal="right" vertical="center" wrapText="1"/>
    </xf>
    <xf numFmtId="169" fontId="4" fillId="25" borderId="32" xfId="2" applyNumberFormat="1" applyFont="1" applyFill="1" applyBorder="1" applyAlignment="1">
      <alignment horizontal="right" vertical="center" wrapText="1"/>
    </xf>
    <xf numFmtId="169" fontId="4" fillId="25" borderId="6" xfId="2" applyNumberFormat="1" applyFont="1" applyFill="1" applyBorder="1" applyAlignment="1">
      <alignment horizontal="righ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14" fontId="1" fillId="29" borderId="11" xfId="4" applyNumberFormat="1" applyFont="1" applyFill="1" applyBorder="1" applyAlignment="1" applyProtection="1">
      <alignment horizontal="center" vertical="center"/>
      <protection locked="0"/>
    </xf>
    <xf numFmtId="14" fontId="1" fillId="29" borderId="6" xfId="4" applyNumberFormat="1" applyFont="1" applyFill="1" applyBorder="1" applyAlignment="1" applyProtection="1">
      <alignment horizontal="center" vertical="center"/>
      <protection locked="0"/>
    </xf>
    <xf numFmtId="0" fontId="1" fillId="29" borderId="11" xfId="4" applyNumberFormat="1" applyFont="1" applyFill="1" applyBorder="1" applyAlignment="1" applyProtection="1">
      <alignment horizontal="center" vertical="center"/>
      <protection locked="0"/>
    </xf>
    <xf numFmtId="0" fontId="1" fillId="29" borderId="6" xfId="4" applyNumberFormat="1" applyFont="1" applyFill="1" applyBorder="1" applyAlignment="1" applyProtection="1">
      <alignment horizontal="center" vertical="center"/>
      <protection locked="0"/>
    </xf>
    <xf numFmtId="0" fontId="1" fillId="29" borderId="32" xfId="4" applyNumberFormat="1" applyFont="1" applyFill="1" applyBorder="1" applyAlignment="1" applyProtection="1">
      <alignment horizontal="center" vertical="center"/>
      <protection locked="0"/>
    </xf>
    <xf numFmtId="14" fontId="1" fillId="29" borderId="11" xfId="4" applyNumberFormat="1" applyFont="1" applyFill="1" applyBorder="1" applyAlignment="1" applyProtection="1">
      <alignment horizontal="right" vertical="center"/>
      <protection locked="0"/>
    </xf>
    <xf numFmtId="14" fontId="1" fillId="29" borderId="32" xfId="4" applyNumberFormat="1" applyFont="1" applyFill="1" applyBorder="1" applyAlignment="1" applyProtection="1">
      <alignment horizontal="right" vertical="center"/>
      <protection locked="0"/>
    </xf>
    <xf numFmtId="14" fontId="1" fillId="29" borderId="6" xfId="4" applyNumberFormat="1" applyFont="1" applyFill="1" applyBorder="1" applyAlignment="1" applyProtection="1">
      <alignment horizontal="right" vertical="center"/>
      <protection locked="0"/>
    </xf>
    <xf numFmtId="0" fontId="1" fillId="21" borderId="13" xfId="0" applyFont="1" applyFill="1" applyBorder="1" applyAlignment="1" applyProtection="1">
      <alignment horizontal="center" vertical="center"/>
      <protection locked="0"/>
    </xf>
    <xf numFmtId="0" fontId="1" fillId="21" borderId="33"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3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5" xfId="0" applyFont="1" applyFill="1" applyBorder="1" applyAlignment="1" applyProtection="1">
      <alignment horizontal="center" vertical="center"/>
      <protection locked="0"/>
    </xf>
    <xf numFmtId="0" fontId="1" fillId="21" borderId="16"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0" fillId="21" borderId="12" xfId="0" applyFont="1" applyFill="1" applyBorder="1" applyAlignment="1" applyProtection="1">
      <alignment horizontal="center" vertical="center"/>
      <protection locked="0"/>
    </xf>
    <xf numFmtId="0" fontId="10" fillId="21" borderId="13" xfId="0" applyFont="1" applyFill="1" applyBorder="1" applyAlignment="1" applyProtection="1">
      <alignment horizontal="center" vertical="center"/>
      <protection locked="0"/>
    </xf>
    <xf numFmtId="0" fontId="1" fillId="21" borderId="35" xfId="0" applyFont="1" applyFill="1" applyBorder="1" applyAlignment="1" applyProtection="1">
      <alignment horizontal="center" vertical="center"/>
      <protection locked="0"/>
    </xf>
    <xf numFmtId="0" fontId="1" fillId="21" borderId="36" xfId="0" applyFont="1" applyFill="1" applyBorder="1" applyAlignment="1" applyProtection="1">
      <alignment horizontal="center" vertical="center"/>
      <protection locked="0"/>
    </xf>
    <xf numFmtId="0" fontId="1" fillId="21" borderId="37" xfId="0" applyFont="1" applyFill="1" applyBorder="1" applyAlignment="1" applyProtection="1">
      <alignment horizontal="center" vertical="center"/>
      <protection locked="0"/>
    </xf>
  </cellXfs>
  <cellStyles count="10">
    <cellStyle name="Énfasis1" xfId="3" builtinId="29"/>
    <cellStyle name="Millares" xfId="2" builtinId="3"/>
    <cellStyle name="Millares 2" xfId="5"/>
    <cellStyle name="Millares 2 2" xfId="7"/>
    <cellStyle name="Moneda" xfId="9" builtinId="4"/>
    <cellStyle name="Moneda [0]" xfId="4" builtinId="7"/>
    <cellStyle name="Moneda [0] 2" xfId="6"/>
    <cellStyle name="Moneda [0] 2 2" xfId="8"/>
    <cellStyle name="Normal" xfId="0" builtinId="0"/>
    <cellStyle name="Normal 2 2" xfId="1"/>
  </cellStyles>
  <dxfs count="0"/>
  <tableStyles count="0" defaultTableStyle="TableStyleMedium2" defaultPivotStyle="PivotStyleLight16"/>
  <colors>
    <mruColors>
      <color rgb="FFFFFF66"/>
      <color rgb="FFDCDCDC"/>
      <color rgb="FF99FF99"/>
      <color rgb="FF00FF00"/>
      <color rgb="FFCCCCFF"/>
      <color rgb="FF66FF66"/>
      <color rgb="FF9966FF"/>
      <color rgb="FFCC99FF"/>
      <color rgb="FFFFFF00"/>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9-06-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PRESUPUESTO\2022\3.Cdps%20y%20Crps\CDPS%20listado\CDPS%2007-06-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PRESUPUESTO\2022\2.Ejecuci&#243;n%20diaria\6.Junio\Ejecuci&#243;n%2007-0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row r="49">
          <cell r="AW49" t="str">
            <v>1.112.759.524,00</v>
          </cell>
        </row>
      </sheetData>
      <sheetData sheetId="1"/>
      <sheetData sheetId="2">
        <row r="35">
          <cell r="L35">
            <v>2822162370</v>
          </cell>
        </row>
        <row r="52">
          <cell r="M52">
            <v>64887439</v>
          </cell>
        </row>
        <row r="53">
          <cell r="M53">
            <v>23429651</v>
          </cell>
        </row>
        <row r="64">
          <cell r="M64">
            <v>860092517</v>
          </cell>
        </row>
        <row r="66">
          <cell r="M66">
            <v>32590000</v>
          </cell>
        </row>
        <row r="67">
          <cell r="M67">
            <v>10000000</v>
          </cell>
        </row>
        <row r="68">
          <cell r="M68">
            <v>174301007</v>
          </cell>
        </row>
        <row r="71">
          <cell r="M71">
            <v>514071161</v>
          </cell>
        </row>
        <row r="75">
          <cell r="M75">
            <v>43649323</v>
          </cell>
        </row>
        <row r="89">
          <cell r="L89">
            <v>2494637968.96</v>
          </cell>
          <cell r="M89">
            <v>3530134523.5300002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2-06-07T094020.82"/>
    </sheetNames>
    <sheetDataSet>
      <sheetData sheetId="0">
        <row r="31">
          <cell r="P31">
            <v>4025000</v>
          </cell>
        </row>
        <row r="50">
          <cell r="O50">
            <v>6000000</v>
          </cell>
        </row>
        <row r="51">
          <cell r="O51">
            <v>170680</v>
          </cell>
        </row>
        <row r="52">
          <cell r="O52">
            <v>287108</v>
          </cell>
        </row>
        <row r="825">
          <cell r="O825">
            <v>3144920499</v>
          </cell>
        </row>
        <row r="826">
          <cell r="O826">
            <v>308992043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 (2)"/>
    </sheetNames>
    <sheetDataSet>
      <sheetData sheetId="0"/>
      <sheetData sheetId="1"/>
      <sheetData sheetId="2">
        <row r="133">
          <cell r="L133">
            <v>15688585749.48</v>
          </cell>
          <cell r="M133">
            <v>1088414250.52</v>
          </cell>
          <cell r="O133">
            <v>12056348267.700001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7"/>
      <c r="AA1" s="387"/>
      <c r="AB1" s="387"/>
      <c r="AC1" s="387"/>
      <c r="AD1" s="387"/>
    </row>
    <row r="2" spans="2:34" ht="15.75" x14ac:dyDescent="0.25">
      <c r="B2" s="18" t="s">
        <v>169</v>
      </c>
      <c r="C2" s="1"/>
      <c r="D2" s="1"/>
      <c r="E2" s="1"/>
      <c r="F2" s="1"/>
      <c r="G2" s="1"/>
      <c r="H2" s="1"/>
      <c r="I2" s="1"/>
      <c r="J2" s="1"/>
      <c r="K2" s="1"/>
      <c r="L2" s="1"/>
      <c r="M2" s="1"/>
      <c r="Z2" s="387"/>
      <c r="AA2" s="387"/>
      <c r="AB2" s="387"/>
      <c r="AC2" s="387"/>
      <c r="AD2" s="387"/>
    </row>
    <row r="3" spans="2:34" ht="15.6" customHeight="1" x14ac:dyDescent="0.25">
      <c r="B3" s="18"/>
      <c r="C3" s="1"/>
      <c r="D3" s="1"/>
      <c r="E3" s="1"/>
      <c r="F3" s="1"/>
      <c r="G3" s="1"/>
      <c r="H3" s="1"/>
      <c r="I3" s="1"/>
      <c r="J3" s="1"/>
      <c r="K3" s="1"/>
      <c r="L3" s="1"/>
      <c r="M3" s="1"/>
      <c r="Z3" s="387"/>
      <c r="AA3" s="387"/>
      <c r="AB3" s="387"/>
      <c r="AC3" s="391"/>
      <c r="AD3" s="387"/>
    </row>
    <row r="4" spans="2:34" ht="15.75" x14ac:dyDescent="0.25">
      <c r="B4" s="18" t="s">
        <v>168</v>
      </c>
      <c r="C4" s="1"/>
      <c r="D4" s="1"/>
      <c r="E4" s="1"/>
      <c r="F4" s="1"/>
      <c r="G4" s="1"/>
      <c r="H4" s="1"/>
      <c r="I4" s="1"/>
      <c r="J4" s="1"/>
      <c r="K4" s="1"/>
      <c r="L4" s="1"/>
      <c r="M4" s="1"/>
      <c r="Z4" s="387"/>
      <c r="AA4" s="387"/>
      <c r="AB4" s="387"/>
      <c r="AC4" s="391"/>
      <c r="AD4" s="387"/>
    </row>
    <row r="5" spans="2:34" ht="15.75" thickBot="1" x14ac:dyDescent="0.25">
      <c r="B5" s="1"/>
      <c r="C5" s="1"/>
      <c r="D5" s="1"/>
      <c r="E5" s="1"/>
      <c r="F5" s="1"/>
      <c r="G5" s="1"/>
      <c r="H5" s="1"/>
      <c r="I5" s="1"/>
      <c r="J5" s="1"/>
      <c r="K5" s="1"/>
      <c r="L5" s="1"/>
      <c r="M5" s="1"/>
      <c r="Z5" s="387"/>
      <c r="AA5" s="388"/>
      <c r="AB5" s="388"/>
      <c r="AC5" s="392"/>
      <c r="AD5" s="388"/>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6" t="s">
        <v>420</v>
      </c>
      <c r="AA6" s="386" t="s">
        <v>421</v>
      </c>
      <c r="AB6" s="386" t="s">
        <v>422</v>
      </c>
      <c r="AC6" s="386" t="s">
        <v>457</v>
      </c>
      <c r="AD6" s="386"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734"/>
      <c r="C15" s="735"/>
      <c r="D15" s="735"/>
      <c r="E15" s="735"/>
      <c r="F15" s="735"/>
      <c r="G15" s="735"/>
      <c r="H15" s="735"/>
      <c r="I15" s="735"/>
      <c r="J15" s="735"/>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710">
        <v>8020</v>
      </c>
      <c r="W18" s="719">
        <v>43852</v>
      </c>
      <c r="X18" s="722">
        <v>128000000</v>
      </c>
      <c r="Y18" s="722">
        <v>128000000</v>
      </c>
      <c r="Z18" s="707">
        <v>0</v>
      </c>
      <c r="AA18" s="707">
        <f>+(+R18+R19+R20+R21+R22+R23)-X18</f>
        <v>0</v>
      </c>
      <c r="AB18" s="707">
        <f>+Y18-Z18</f>
        <v>128000000</v>
      </c>
      <c r="AC18" s="707" t="str">
        <f>IF(Z18=0,"0",IF(Z18&gt;0,Y18-Z18,))</f>
        <v>0</v>
      </c>
      <c r="AD18" s="704">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711"/>
      <c r="W19" s="720"/>
      <c r="X19" s="723"/>
      <c r="Y19" s="723"/>
      <c r="Z19" s="708"/>
      <c r="AA19" s="708"/>
      <c r="AB19" s="708"/>
      <c r="AC19" s="708"/>
      <c r="AD19" s="705"/>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711"/>
      <c r="W20" s="720"/>
      <c r="X20" s="723"/>
      <c r="Y20" s="723"/>
      <c r="Z20" s="708"/>
      <c r="AA20" s="708"/>
      <c r="AB20" s="708"/>
      <c r="AC20" s="708"/>
      <c r="AD20" s="705"/>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711"/>
      <c r="W21" s="720"/>
      <c r="X21" s="723"/>
      <c r="Y21" s="723"/>
      <c r="Z21" s="708"/>
      <c r="AA21" s="708"/>
      <c r="AB21" s="708"/>
      <c r="AC21" s="708"/>
      <c r="AD21" s="705"/>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711"/>
      <c r="W22" s="720"/>
      <c r="X22" s="723"/>
      <c r="Y22" s="723"/>
      <c r="Z22" s="708"/>
      <c r="AA22" s="708"/>
      <c r="AB22" s="708"/>
      <c r="AC22" s="708"/>
      <c r="AD22" s="705"/>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712"/>
      <c r="W23" s="721"/>
      <c r="X23" s="724"/>
      <c r="Y23" s="724"/>
      <c r="Z23" s="709"/>
      <c r="AA23" s="709"/>
      <c r="AB23" s="709"/>
      <c r="AC23" s="709"/>
      <c r="AD23" s="706"/>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734"/>
      <c r="C29" s="735"/>
      <c r="D29" s="735"/>
      <c r="E29" s="735"/>
      <c r="F29" s="735"/>
      <c r="G29" s="735"/>
      <c r="H29" s="735"/>
      <c r="I29" s="735"/>
      <c r="J29" s="735"/>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736"/>
      <c r="C30" s="737"/>
      <c r="D30" s="737"/>
      <c r="E30" s="737"/>
      <c r="F30" s="737"/>
      <c r="G30" s="737"/>
      <c r="H30" s="737"/>
      <c r="I30" s="737"/>
      <c r="J30" s="737"/>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734"/>
      <c r="C36" s="735"/>
      <c r="D36" s="735"/>
      <c r="E36" s="735"/>
      <c r="F36" s="735"/>
      <c r="G36" s="735"/>
      <c r="H36" s="735"/>
      <c r="I36" s="735"/>
      <c r="J36" s="735"/>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734"/>
      <c r="C39" s="735"/>
      <c r="D39" s="735"/>
      <c r="E39" s="735"/>
      <c r="F39" s="735"/>
      <c r="G39" s="735"/>
      <c r="H39" s="735"/>
      <c r="I39" s="735"/>
      <c r="J39" s="735"/>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734"/>
      <c r="C42" s="735"/>
      <c r="D42" s="735"/>
      <c r="E42" s="735"/>
      <c r="F42" s="735"/>
      <c r="G42" s="735"/>
      <c r="H42" s="735"/>
      <c r="I42" s="735"/>
      <c r="J42" s="735"/>
      <c r="K42" s="177">
        <v>50161500</v>
      </c>
      <c r="L42" s="100" t="s">
        <v>370</v>
      </c>
      <c r="M42" s="134">
        <v>43840</v>
      </c>
      <c r="N42" s="134">
        <v>43900</v>
      </c>
      <c r="O42" s="157" t="s">
        <v>326</v>
      </c>
      <c r="P42" s="157" t="s">
        <v>360</v>
      </c>
      <c r="Q42" s="125"/>
      <c r="R42" s="101">
        <f>3000000-227200</f>
        <v>2772800</v>
      </c>
      <c r="S42" s="182" t="s">
        <v>386</v>
      </c>
      <c r="T42" s="102"/>
      <c r="U42" s="253" t="s">
        <v>194</v>
      </c>
      <c r="V42" s="728">
        <v>3120</v>
      </c>
      <c r="W42" s="713">
        <v>43843</v>
      </c>
      <c r="X42" s="725">
        <v>7000000</v>
      </c>
      <c r="Y42" s="725">
        <v>6772800</v>
      </c>
      <c r="Z42" s="731">
        <v>6772800</v>
      </c>
      <c r="AA42" s="731">
        <f>+R42+R44-Y42</f>
        <v>0</v>
      </c>
      <c r="AB42" s="704">
        <f>+Z42-AA42</f>
        <v>6772800</v>
      </c>
      <c r="AC42" s="704">
        <f>IF(Z42=0,"0",IF(Z42&gt;0,Y42-Z42,))</f>
        <v>0</v>
      </c>
      <c r="AD42" s="704">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729"/>
      <c r="W43" s="714"/>
      <c r="X43" s="726"/>
      <c r="Y43" s="726"/>
      <c r="Z43" s="732"/>
      <c r="AA43" s="732"/>
      <c r="AB43" s="705"/>
      <c r="AC43" s="705"/>
      <c r="AD43" s="705"/>
      <c r="AG43" s="273"/>
      <c r="AH43" s="273"/>
    </row>
    <row r="44" spans="1:34" ht="30" customHeight="1" x14ac:dyDescent="0.2">
      <c r="B44" s="734"/>
      <c r="C44" s="735"/>
      <c r="D44" s="735"/>
      <c r="E44" s="735"/>
      <c r="F44" s="735"/>
      <c r="G44" s="735"/>
      <c r="H44" s="735"/>
      <c r="I44" s="735"/>
      <c r="J44" s="735"/>
      <c r="K44" s="99">
        <v>50201700</v>
      </c>
      <c r="L44" s="100" t="s">
        <v>369</v>
      </c>
      <c r="M44" s="134">
        <v>43840</v>
      </c>
      <c r="N44" s="134">
        <v>43900</v>
      </c>
      <c r="O44" s="157" t="s">
        <v>326</v>
      </c>
      <c r="P44" s="157" t="s">
        <v>360</v>
      </c>
      <c r="Q44" s="125"/>
      <c r="R44" s="101">
        <f>4000000</f>
        <v>4000000</v>
      </c>
      <c r="S44" s="182" t="s">
        <v>386</v>
      </c>
      <c r="T44" s="102"/>
      <c r="U44" s="253" t="s">
        <v>194</v>
      </c>
      <c r="V44" s="730"/>
      <c r="W44" s="715"/>
      <c r="X44" s="727"/>
      <c r="Y44" s="727"/>
      <c r="Z44" s="733"/>
      <c r="AA44" s="733"/>
      <c r="AB44" s="706"/>
      <c r="AC44" s="706"/>
      <c r="AD44" s="706"/>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734"/>
      <c r="C46" s="735"/>
      <c r="D46" s="735"/>
      <c r="E46" s="735"/>
      <c r="F46" s="735"/>
      <c r="G46" s="735"/>
      <c r="H46" s="735"/>
      <c r="I46" s="735"/>
      <c r="J46" s="735"/>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736"/>
      <c r="C47" s="737"/>
      <c r="D47" s="737"/>
      <c r="E47" s="737"/>
      <c r="F47" s="737"/>
      <c r="G47" s="737"/>
      <c r="H47" s="737"/>
      <c r="I47" s="737"/>
      <c r="J47" s="737"/>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736"/>
      <c r="C48" s="737"/>
      <c r="D48" s="737"/>
      <c r="E48" s="737"/>
      <c r="F48" s="737"/>
      <c r="G48" s="737"/>
      <c r="H48" s="737"/>
      <c r="I48" s="737"/>
      <c r="J48" s="737"/>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734"/>
      <c r="C50" s="735"/>
      <c r="D50" s="735"/>
      <c r="E50" s="735"/>
      <c r="F50" s="735"/>
      <c r="G50" s="735"/>
      <c r="H50" s="735"/>
      <c r="I50" s="735"/>
      <c r="J50" s="735"/>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736"/>
      <c r="C51" s="737"/>
      <c r="D51" s="737"/>
      <c r="E51" s="737"/>
      <c r="F51" s="737"/>
      <c r="G51" s="737"/>
      <c r="H51" s="737"/>
      <c r="I51" s="737"/>
      <c r="J51" s="737"/>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734"/>
      <c r="C55" s="735"/>
      <c r="D55" s="735"/>
      <c r="E55" s="735"/>
      <c r="F55" s="735"/>
      <c r="G55" s="735"/>
      <c r="H55" s="735"/>
      <c r="I55" s="735"/>
      <c r="J55" s="735"/>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736"/>
      <c r="C56" s="737"/>
      <c r="D56" s="737"/>
      <c r="E56" s="737"/>
      <c r="F56" s="737"/>
      <c r="G56" s="737"/>
      <c r="H56" s="737"/>
      <c r="I56" s="737"/>
      <c r="J56" s="737"/>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734"/>
      <c r="C58" s="735"/>
      <c r="D58" s="735"/>
      <c r="E58" s="735"/>
      <c r="F58" s="735"/>
      <c r="G58" s="735"/>
      <c r="H58" s="735"/>
      <c r="I58" s="735"/>
      <c r="J58" s="735"/>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736"/>
      <c r="C59" s="737"/>
      <c r="D59" s="737"/>
      <c r="E59" s="737"/>
      <c r="F59" s="737"/>
      <c r="G59" s="737"/>
      <c r="H59" s="737"/>
      <c r="I59" s="737"/>
      <c r="J59" s="737"/>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734"/>
      <c r="C62" s="735"/>
      <c r="D62" s="735"/>
      <c r="E62" s="735"/>
      <c r="F62" s="735"/>
      <c r="G62" s="735"/>
      <c r="H62" s="735"/>
      <c r="I62" s="735"/>
      <c r="J62" s="735"/>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734"/>
      <c r="C64" s="735"/>
      <c r="D64" s="735"/>
      <c r="E64" s="735"/>
      <c r="F64" s="735"/>
      <c r="G64" s="735"/>
      <c r="H64" s="735"/>
      <c r="I64" s="735"/>
      <c r="J64" s="735"/>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734"/>
      <c r="C67" s="735"/>
      <c r="D67" s="735"/>
      <c r="E67" s="735"/>
      <c r="F67" s="735"/>
      <c r="G67" s="735"/>
      <c r="H67" s="735"/>
      <c r="I67" s="735"/>
      <c r="J67" s="735"/>
      <c r="K67" s="177" t="s">
        <v>363</v>
      </c>
      <c r="L67" s="178" t="s">
        <v>366</v>
      </c>
      <c r="M67" s="134">
        <v>43840</v>
      </c>
      <c r="N67" s="134">
        <v>43900</v>
      </c>
      <c r="O67" s="157" t="s">
        <v>326</v>
      </c>
      <c r="P67" s="157" t="s">
        <v>360</v>
      </c>
      <c r="Q67" s="125"/>
      <c r="R67" s="389">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734"/>
      <c r="C70" s="735"/>
      <c r="D70" s="735"/>
      <c r="E70" s="735"/>
      <c r="F70" s="735"/>
      <c r="G70" s="735"/>
      <c r="H70" s="735"/>
      <c r="I70" s="735"/>
      <c r="J70" s="735"/>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734"/>
      <c r="C72" s="735"/>
      <c r="D72" s="735"/>
      <c r="E72" s="735"/>
      <c r="F72" s="735"/>
      <c r="G72" s="735"/>
      <c r="H72" s="735"/>
      <c r="I72" s="735"/>
      <c r="J72" s="735"/>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734"/>
      <c r="C75" s="735"/>
      <c r="D75" s="735"/>
      <c r="E75" s="735"/>
      <c r="F75" s="735"/>
      <c r="G75" s="735"/>
      <c r="H75" s="735"/>
      <c r="I75" s="735"/>
      <c r="J75" s="735"/>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734"/>
      <c r="C77" s="735"/>
      <c r="D77" s="735"/>
      <c r="E77" s="735"/>
      <c r="F77" s="735"/>
      <c r="G77" s="735"/>
      <c r="H77" s="735"/>
      <c r="I77" s="735"/>
      <c r="J77" s="735"/>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734"/>
      <c r="C79" s="735"/>
      <c r="D79" s="735"/>
      <c r="E79" s="735"/>
      <c r="F79" s="735"/>
      <c r="G79" s="735"/>
      <c r="H79" s="735"/>
      <c r="I79" s="735"/>
      <c r="J79" s="735"/>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734"/>
      <c r="C81" s="735"/>
      <c r="D81" s="735"/>
      <c r="E81" s="735"/>
      <c r="F81" s="735"/>
      <c r="G81" s="735"/>
      <c r="H81" s="735"/>
      <c r="I81" s="735"/>
      <c r="J81" s="735"/>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736"/>
      <c r="C84" s="737"/>
      <c r="D84" s="737"/>
      <c r="E84" s="737"/>
      <c r="F84" s="737"/>
      <c r="G84" s="737"/>
      <c r="H84" s="737"/>
      <c r="I84" s="737"/>
      <c r="J84" s="737"/>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736"/>
      <c r="C87" s="737"/>
      <c r="D87" s="737"/>
      <c r="E87" s="737"/>
      <c r="F87" s="737"/>
      <c r="G87" s="737"/>
      <c r="H87" s="737"/>
      <c r="I87" s="737"/>
      <c r="J87" s="737"/>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736"/>
      <c r="C88" s="737"/>
      <c r="D88" s="737"/>
      <c r="E88" s="737"/>
      <c r="F88" s="737"/>
      <c r="G88" s="737"/>
      <c r="H88" s="737"/>
      <c r="I88" s="737"/>
      <c r="J88" s="737"/>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736"/>
      <c r="C89" s="737"/>
      <c r="D89" s="737"/>
      <c r="E89" s="737"/>
      <c r="F89" s="737"/>
      <c r="G89" s="737"/>
      <c r="H89" s="737"/>
      <c r="I89" s="737"/>
      <c r="J89" s="737"/>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734"/>
      <c r="C92" s="735"/>
      <c r="D92" s="735"/>
      <c r="E92" s="735"/>
      <c r="F92" s="735"/>
      <c r="G92" s="735"/>
      <c r="H92" s="735"/>
      <c r="I92" s="735"/>
      <c r="J92" s="735"/>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736"/>
      <c r="C93" s="737"/>
      <c r="D93" s="737"/>
      <c r="E93" s="737"/>
      <c r="F93" s="737"/>
      <c r="G93" s="737"/>
      <c r="H93" s="737"/>
      <c r="I93" s="737"/>
      <c r="J93" s="737"/>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734"/>
      <c r="C96" s="735"/>
      <c r="D96" s="735"/>
      <c r="E96" s="735"/>
      <c r="F96" s="735"/>
      <c r="G96" s="735"/>
      <c r="H96" s="735"/>
      <c r="I96" s="735"/>
      <c r="J96" s="735"/>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734"/>
      <c r="C99" s="735"/>
      <c r="D99" s="735"/>
      <c r="E99" s="735"/>
      <c r="F99" s="735"/>
      <c r="G99" s="735"/>
      <c r="H99" s="735"/>
      <c r="I99" s="735"/>
      <c r="J99" s="735"/>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736"/>
      <c r="C100" s="737"/>
      <c r="D100" s="737"/>
      <c r="E100" s="737"/>
      <c r="F100" s="737"/>
      <c r="G100" s="737"/>
      <c r="H100" s="737"/>
      <c r="I100" s="737"/>
      <c r="J100" s="737"/>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736"/>
      <c r="C101" s="737"/>
      <c r="D101" s="737"/>
      <c r="E101" s="737"/>
      <c r="F101" s="737"/>
      <c r="G101" s="737"/>
      <c r="H101" s="737"/>
      <c r="I101" s="737"/>
      <c r="J101" s="737"/>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734"/>
      <c r="C104" s="735"/>
      <c r="D104" s="735"/>
      <c r="E104" s="735"/>
      <c r="F104" s="735"/>
      <c r="G104" s="735"/>
      <c r="H104" s="735"/>
      <c r="I104" s="735"/>
      <c r="J104" s="735"/>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736"/>
      <c r="C105" s="737"/>
      <c r="D105" s="737"/>
      <c r="E105" s="737"/>
      <c r="F105" s="737"/>
      <c r="G105" s="737"/>
      <c r="H105" s="737"/>
      <c r="I105" s="737"/>
      <c r="J105" s="737"/>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734"/>
      <c r="C107" s="735"/>
      <c r="D107" s="735"/>
      <c r="E107" s="735"/>
      <c r="F107" s="735"/>
      <c r="G107" s="735"/>
      <c r="H107" s="735"/>
      <c r="I107" s="735"/>
      <c r="J107" s="735"/>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734"/>
      <c r="C112" s="735"/>
      <c r="D112" s="735"/>
      <c r="E112" s="735"/>
      <c r="F112" s="735"/>
      <c r="G112" s="735"/>
      <c r="H112" s="735"/>
      <c r="I112" s="735"/>
      <c r="J112" s="735"/>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734"/>
      <c r="C115" s="735"/>
      <c r="D115" s="735"/>
      <c r="E115" s="735"/>
      <c r="F115" s="735"/>
      <c r="G115" s="735"/>
      <c r="H115" s="735"/>
      <c r="I115" s="735"/>
      <c r="J115" s="735"/>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736"/>
      <c r="C116" s="737"/>
      <c r="D116" s="737"/>
      <c r="E116" s="737"/>
      <c r="F116" s="737"/>
      <c r="G116" s="737"/>
      <c r="H116" s="737"/>
      <c r="I116" s="737"/>
      <c r="J116" s="737"/>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736"/>
      <c r="C117" s="737"/>
      <c r="D117" s="737"/>
      <c r="E117" s="737"/>
      <c r="F117" s="737"/>
      <c r="G117" s="737"/>
      <c r="H117" s="737"/>
      <c r="I117" s="737"/>
      <c r="J117" s="737"/>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734"/>
      <c r="C119" s="735"/>
      <c r="D119" s="735"/>
      <c r="E119" s="735"/>
      <c r="F119" s="735"/>
      <c r="G119" s="735"/>
      <c r="H119" s="735"/>
      <c r="I119" s="735"/>
      <c r="J119" s="735"/>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736"/>
      <c r="C120" s="737"/>
      <c r="D120" s="737"/>
      <c r="E120" s="737"/>
      <c r="F120" s="737"/>
      <c r="G120" s="737"/>
      <c r="H120" s="737"/>
      <c r="I120" s="737"/>
      <c r="J120" s="737"/>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734"/>
      <c r="C123" s="735"/>
      <c r="D123" s="735"/>
      <c r="E123" s="735"/>
      <c r="F123" s="735"/>
      <c r="G123" s="735"/>
      <c r="H123" s="735"/>
      <c r="I123" s="735"/>
      <c r="J123" s="735"/>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736"/>
      <c r="C124" s="737"/>
      <c r="D124" s="737"/>
      <c r="E124" s="737"/>
      <c r="F124" s="737"/>
      <c r="G124" s="737"/>
      <c r="H124" s="737"/>
      <c r="I124" s="737"/>
      <c r="J124" s="737"/>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734"/>
      <c r="C130" s="735"/>
      <c r="D130" s="735"/>
      <c r="E130" s="735"/>
      <c r="F130" s="735"/>
      <c r="G130" s="735"/>
      <c r="H130" s="735"/>
      <c r="I130" s="735"/>
      <c r="J130" s="735"/>
      <c r="K130" s="99">
        <v>83112400</v>
      </c>
      <c r="L130" s="178" t="s">
        <v>89</v>
      </c>
      <c r="M130" s="134">
        <v>43834</v>
      </c>
      <c r="N130" s="134">
        <v>43840</v>
      </c>
      <c r="O130" s="157" t="s">
        <v>324</v>
      </c>
      <c r="P130" s="157" t="s">
        <v>317</v>
      </c>
      <c r="Q130" s="125"/>
      <c r="R130" s="101">
        <v>1774000000</v>
      </c>
      <c r="S130" s="182" t="s">
        <v>386</v>
      </c>
      <c r="T130" s="102"/>
      <c r="U130" s="253" t="s">
        <v>272</v>
      </c>
      <c r="V130" s="710" t="s">
        <v>425</v>
      </c>
      <c r="W130" s="713" t="s">
        <v>426</v>
      </c>
      <c r="X130" s="716">
        <f>156406441+1619593559</f>
        <v>1776000000</v>
      </c>
      <c r="Y130" s="716">
        <f>156406441+1619593559</f>
        <v>1776000000</v>
      </c>
      <c r="Z130" s="704">
        <v>1774665374</v>
      </c>
      <c r="AA130" s="704">
        <f>+R130+R132-Y130</f>
        <v>0</v>
      </c>
      <c r="AB130" s="704">
        <f>+Y130-Z130</f>
        <v>1334626</v>
      </c>
      <c r="AC130" s="704">
        <f>IF(Z130=0,"0",IF(Z130&gt;0,Y130-Z130,))</f>
        <v>1334626</v>
      </c>
      <c r="AD130" s="704">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711"/>
      <c r="W131" s="714"/>
      <c r="X131" s="717"/>
      <c r="Y131" s="717"/>
      <c r="Z131" s="705"/>
      <c r="AA131" s="705"/>
      <c r="AB131" s="705"/>
      <c r="AC131" s="705"/>
      <c r="AD131" s="705"/>
      <c r="AG131" s="273"/>
      <c r="AH131" s="273"/>
    </row>
    <row r="132" spans="2:34" ht="35.25" customHeight="1" x14ac:dyDescent="0.2">
      <c r="B132" s="734"/>
      <c r="C132" s="735"/>
      <c r="D132" s="735"/>
      <c r="E132" s="735"/>
      <c r="F132" s="735"/>
      <c r="G132" s="735"/>
      <c r="H132" s="735"/>
      <c r="I132" s="735"/>
      <c r="J132" s="735"/>
      <c r="K132" s="99">
        <v>84131500</v>
      </c>
      <c r="L132" s="100" t="s">
        <v>90</v>
      </c>
      <c r="M132" s="134">
        <v>44136</v>
      </c>
      <c r="N132" s="134">
        <v>44105</v>
      </c>
      <c r="O132" s="157" t="s">
        <v>301</v>
      </c>
      <c r="P132" s="157" t="s">
        <v>384</v>
      </c>
      <c r="Q132" s="125"/>
      <c r="R132" s="101">
        <v>2000000</v>
      </c>
      <c r="S132" s="182"/>
      <c r="T132" s="102"/>
      <c r="U132" s="257" t="s">
        <v>270</v>
      </c>
      <c r="V132" s="712"/>
      <c r="W132" s="715"/>
      <c r="X132" s="718"/>
      <c r="Y132" s="718"/>
      <c r="Z132" s="706"/>
      <c r="AA132" s="706"/>
      <c r="AB132" s="706"/>
      <c r="AC132" s="706"/>
      <c r="AD132" s="706"/>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734"/>
      <c r="C136" s="735"/>
      <c r="D136" s="735"/>
      <c r="E136" s="735"/>
      <c r="F136" s="735"/>
      <c r="G136" s="735"/>
      <c r="H136" s="735"/>
      <c r="I136" s="735"/>
      <c r="J136" s="735"/>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736"/>
      <c r="C137" s="737"/>
      <c r="D137" s="737"/>
      <c r="E137" s="737"/>
      <c r="F137" s="737"/>
      <c r="G137" s="737"/>
      <c r="H137" s="737"/>
      <c r="I137" s="737"/>
      <c r="J137" s="737"/>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734"/>
      <c r="C139" s="735"/>
      <c r="D139" s="735"/>
      <c r="E139" s="735"/>
      <c r="F139" s="735"/>
      <c r="G139" s="735"/>
      <c r="H139" s="735"/>
      <c r="I139" s="735"/>
      <c r="J139" s="735"/>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736"/>
      <c r="C140" s="737"/>
      <c r="D140" s="737"/>
      <c r="E140" s="737"/>
      <c r="F140" s="737"/>
      <c r="G140" s="737"/>
      <c r="H140" s="737"/>
      <c r="I140" s="737"/>
      <c r="J140" s="737"/>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734"/>
      <c r="C144" s="735"/>
      <c r="D144" s="735"/>
      <c r="E144" s="735"/>
      <c r="F144" s="735"/>
      <c r="G144" s="735"/>
      <c r="H144" s="735"/>
      <c r="I144" s="735"/>
      <c r="J144" s="735"/>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736"/>
      <c r="C145" s="737"/>
      <c r="D145" s="737"/>
      <c r="E145" s="737"/>
      <c r="F145" s="737"/>
      <c r="G145" s="737"/>
      <c r="H145" s="737"/>
      <c r="I145" s="737"/>
      <c r="J145" s="737"/>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736"/>
      <c r="C146" s="737"/>
      <c r="D146" s="737"/>
      <c r="E146" s="737"/>
      <c r="F146" s="737"/>
      <c r="G146" s="737"/>
      <c r="H146" s="737"/>
      <c r="I146" s="737"/>
      <c r="J146" s="737"/>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736"/>
      <c r="C147" s="737"/>
      <c r="D147" s="737"/>
      <c r="E147" s="737"/>
      <c r="F147" s="737"/>
      <c r="G147" s="737"/>
      <c r="H147" s="737"/>
      <c r="I147" s="737"/>
      <c r="J147" s="737"/>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736"/>
      <c r="C148" s="737"/>
      <c r="D148" s="737"/>
      <c r="E148" s="737"/>
      <c r="F148" s="737"/>
      <c r="G148" s="737"/>
      <c r="H148" s="737"/>
      <c r="I148" s="737"/>
      <c r="J148" s="737"/>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736"/>
      <c r="C149" s="737"/>
      <c r="D149" s="737"/>
      <c r="E149" s="737"/>
      <c r="F149" s="737"/>
      <c r="G149" s="737"/>
      <c r="H149" s="737"/>
      <c r="I149" s="737"/>
      <c r="J149" s="737"/>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736"/>
      <c r="C150" s="737"/>
      <c r="D150" s="737"/>
      <c r="E150" s="737"/>
      <c r="F150" s="737"/>
      <c r="G150" s="737"/>
      <c r="H150" s="737"/>
      <c r="I150" s="737"/>
      <c r="J150" s="737"/>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736"/>
      <c r="C151" s="737"/>
      <c r="D151" s="737"/>
      <c r="E151" s="737"/>
      <c r="F151" s="737"/>
      <c r="G151" s="737"/>
      <c r="H151" s="737"/>
      <c r="I151" s="737"/>
      <c r="J151" s="737"/>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734"/>
      <c r="C153" s="735"/>
      <c r="D153" s="735"/>
      <c r="E153" s="735"/>
      <c r="F153" s="735"/>
      <c r="G153" s="735"/>
      <c r="H153" s="735"/>
      <c r="I153" s="735"/>
      <c r="J153" s="735"/>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736"/>
      <c r="C155" s="737"/>
      <c r="D155" s="737"/>
      <c r="E155" s="737"/>
      <c r="F155" s="737"/>
      <c r="G155" s="737"/>
      <c r="H155" s="737"/>
      <c r="I155" s="737"/>
      <c r="J155" s="737"/>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736"/>
      <c r="C156" s="737"/>
      <c r="D156" s="737"/>
      <c r="E156" s="737"/>
      <c r="F156" s="737"/>
      <c r="G156" s="737"/>
      <c r="H156" s="737"/>
      <c r="I156" s="737"/>
      <c r="J156" s="737"/>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736"/>
      <c r="C157" s="737"/>
      <c r="D157" s="737"/>
      <c r="E157" s="737"/>
      <c r="F157" s="737"/>
      <c r="G157" s="737"/>
      <c r="H157" s="737"/>
      <c r="I157" s="737"/>
      <c r="J157" s="737"/>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736"/>
      <c r="C158" s="737"/>
      <c r="D158" s="737"/>
      <c r="E158" s="737"/>
      <c r="F158" s="737"/>
      <c r="G158" s="737"/>
      <c r="H158" s="737"/>
      <c r="I158" s="737"/>
      <c r="J158" s="737"/>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736"/>
      <c r="C159" s="737"/>
      <c r="D159" s="737"/>
      <c r="E159" s="737"/>
      <c r="F159" s="737"/>
      <c r="G159" s="737"/>
      <c r="H159" s="737"/>
      <c r="I159" s="737"/>
      <c r="J159" s="737"/>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736"/>
      <c r="C160" s="737"/>
      <c r="D160" s="737"/>
      <c r="E160" s="737"/>
      <c r="F160" s="737"/>
      <c r="G160" s="737"/>
      <c r="H160" s="737"/>
      <c r="I160" s="737"/>
      <c r="J160" s="737"/>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736"/>
      <c r="C161" s="737"/>
      <c r="D161" s="737"/>
      <c r="E161" s="737"/>
      <c r="F161" s="737"/>
      <c r="G161" s="737"/>
      <c r="H161" s="737"/>
      <c r="I161" s="737"/>
      <c r="J161" s="737"/>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736"/>
      <c r="C162" s="737"/>
      <c r="D162" s="737"/>
      <c r="E162" s="737"/>
      <c r="F162" s="737"/>
      <c r="G162" s="737"/>
      <c r="H162" s="737"/>
      <c r="I162" s="737"/>
      <c r="J162" s="737"/>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736"/>
      <c r="C163" s="737"/>
      <c r="D163" s="737"/>
      <c r="E163" s="737"/>
      <c r="F163" s="737"/>
      <c r="G163" s="737"/>
      <c r="H163" s="737"/>
      <c r="I163" s="737"/>
      <c r="J163" s="737"/>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736"/>
      <c r="C164" s="737"/>
      <c r="D164" s="737"/>
      <c r="E164" s="737"/>
      <c r="F164" s="737"/>
      <c r="G164" s="737"/>
      <c r="H164" s="737"/>
      <c r="I164" s="737"/>
      <c r="J164" s="737"/>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736"/>
      <c r="C165" s="737"/>
      <c r="D165" s="737"/>
      <c r="E165" s="737"/>
      <c r="F165" s="737"/>
      <c r="G165" s="737"/>
      <c r="H165" s="737"/>
      <c r="I165" s="737"/>
      <c r="J165" s="737"/>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734"/>
      <c r="C167" s="735"/>
      <c r="D167" s="735"/>
      <c r="E167" s="735"/>
      <c r="F167" s="735"/>
      <c r="G167" s="735"/>
      <c r="H167" s="735"/>
      <c r="I167" s="735"/>
      <c r="J167" s="735"/>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734"/>
      <c r="C169" s="735"/>
      <c r="D169" s="735"/>
      <c r="E169" s="735"/>
      <c r="F169" s="735"/>
      <c r="G169" s="735"/>
      <c r="H169" s="735"/>
      <c r="I169" s="735"/>
      <c r="J169" s="735"/>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734"/>
      <c r="C172" s="735"/>
      <c r="D172" s="735"/>
      <c r="E172" s="735"/>
      <c r="F172" s="735"/>
      <c r="G172" s="735"/>
      <c r="H172" s="735"/>
      <c r="I172" s="735"/>
      <c r="J172" s="735"/>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736"/>
      <c r="C173" s="737"/>
      <c r="D173" s="737"/>
      <c r="E173" s="737"/>
      <c r="F173" s="737"/>
      <c r="G173" s="737"/>
      <c r="H173" s="737"/>
      <c r="I173" s="737"/>
      <c r="J173" s="737"/>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736"/>
      <c r="C174" s="737"/>
      <c r="D174" s="737"/>
      <c r="E174" s="737"/>
      <c r="F174" s="737"/>
      <c r="G174" s="737"/>
      <c r="H174" s="737"/>
      <c r="I174" s="737"/>
      <c r="J174" s="737"/>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734"/>
      <c r="C176" s="735"/>
      <c r="D176" s="735"/>
      <c r="E176" s="735"/>
      <c r="F176" s="735"/>
      <c r="G176" s="735"/>
      <c r="H176" s="735"/>
      <c r="I176" s="735"/>
      <c r="J176" s="735"/>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736"/>
      <c r="C177" s="737"/>
      <c r="D177" s="737"/>
      <c r="E177" s="737"/>
      <c r="F177" s="737"/>
      <c r="G177" s="737"/>
      <c r="H177" s="737"/>
      <c r="I177" s="737"/>
      <c r="J177" s="737"/>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734"/>
      <c r="C181" s="735"/>
      <c r="D181" s="735"/>
      <c r="E181" s="735"/>
      <c r="F181" s="735"/>
      <c r="G181" s="735"/>
      <c r="H181" s="735"/>
      <c r="I181" s="735"/>
      <c r="J181" s="735"/>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734"/>
      <c r="C183" s="735"/>
      <c r="D183" s="735"/>
      <c r="E183" s="735"/>
      <c r="F183" s="735"/>
      <c r="G183" s="735"/>
      <c r="H183" s="735"/>
      <c r="I183" s="735"/>
      <c r="J183" s="735"/>
      <c r="K183" s="176" t="s">
        <v>315</v>
      </c>
      <c r="L183" s="179" t="s">
        <v>320</v>
      </c>
      <c r="M183" s="179"/>
      <c r="N183" s="135">
        <v>43983</v>
      </c>
      <c r="O183" s="158" t="s">
        <v>296</v>
      </c>
      <c r="P183" s="158"/>
      <c r="Q183" s="125"/>
      <c r="R183" s="390">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736"/>
      <c r="C184" s="737"/>
      <c r="D184" s="737"/>
      <c r="E184" s="737"/>
      <c r="F184" s="737"/>
      <c r="G184" s="737"/>
      <c r="H184" s="737"/>
      <c r="I184" s="737"/>
      <c r="J184" s="737"/>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736"/>
      <c r="C185" s="737"/>
      <c r="D185" s="737"/>
      <c r="E185" s="737"/>
      <c r="F185" s="737"/>
      <c r="G185" s="737"/>
      <c r="H185" s="737"/>
      <c r="I185" s="737"/>
      <c r="J185" s="737"/>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736"/>
      <c r="C186" s="737"/>
      <c r="D186" s="737"/>
      <c r="E186" s="737"/>
      <c r="F186" s="737"/>
      <c r="G186" s="737"/>
      <c r="H186" s="737"/>
      <c r="I186" s="737"/>
      <c r="J186" s="737"/>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736"/>
      <c r="C187" s="737"/>
      <c r="D187" s="737"/>
      <c r="E187" s="737"/>
      <c r="F187" s="737"/>
      <c r="G187" s="737"/>
      <c r="H187" s="737"/>
      <c r="I187" s="737"/>
      <c r="J187" s="737"/>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736"/>
      <c r="C188" s="737"/>
      <c r="D188" s="737"/>
      <c r="E188" s="737"/>
      <c r="F188" s="737"/>
      <c r="G188" s="737"/>
      <c r="H188" s="737"/>
      <c r="I188" s="737"/>
      <c r="J188" s="737"/>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736"/>
      <c r="C190" s="737"/>
      <c r="D190" s="737"/>
      <c r="E190" s="737"/>
      <c r="F190" s="737"/>
      <c r="G190" s="737"/>
      <c r="H190" s="737"/>
      <c r="I190" s="737"/>
      <c r="J190" s="737"/>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734"/>
      <c r="C194" s="735"/>
      <c r="D194" s="735"/>
      <c r="E194" s="735"/>
      <c r="F194" s="735"/>
      <c r="G194" s="735"/>
      <c r="H194" s="735"/>
      <c r="I194" s="735"/>
      <c r="J194" s="735"/>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736"/>
      <c r="C195" s="737"/>
      <c r="D195" s="737"/>
      <c r="E195" s="737"/>
      <c r="F195" s="737"/>
      <c r="G195" s="737"/>
      <c r="H195" s="737"/>
      <c r="I195" s="737"/>
      <c r="J195" s="737"/>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736"/>
      <c r="C196" s="737"/>
      <c r="D196" s="737"/>
      <c r="E196" s="737"/>
      <c r="F196" s="737"/>
      <c r="G196" s="737"/>
      <c r="H196" s="737"/>
      <c r="I196" s="737"/>
      <c r="J196" s="737"/>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736"/>
      <c r="C197" s="737"/>
      <c r="D197" s="737"/>
      <c r="E197" s="737"/>
      <c r="F197" s="737"/>
      <c r="G197" s="737"/>
      <c r="H197" s="737"/>
      <c r="I197" s="737"/>
      <c r="J197" s="737"/>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736"/>
      <c r="C198" s="737"/>
      <c r="D198" s="737"/>
      <c r="E198" s="737"/>
      <c r="F198" s="737"/>
      <c r="G198" s="737"/>
      <c r="H198" s="737"/>
      <c r="I198" s="737"/>
      <c r="J198" s="737"/>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736"/>
      <c r="C199" s="737"/>
      <c r="D199" s="737"/>
      <c r="E199" s="737"/>
      <c r="F199" s="737"/>
      <c r="G199" s="737"/>
      <c r="H199" s="737"/>
      <c r="I199" s="737"/>
      <c r="J199" s="737"/>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734"/>
      <c r="C202" s="735"/>
      <c r="D202" s="735"/>
      <c r="E202" s="735"/>
      <c r="F202" s="735"/>
      <c r="G202" s="735"/>
      <c r="H202" s="735"/>
      <c r="I202" s="735"/>
      <c r="J202" s="735"/>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734"/>
      <c r="C205" s="735"/>
      <c r="D205" s="735"/>
      <c r="E205" s="735"/>
      <c r="F205" s="735"/>
      <c r="G205" s="735"/>
      <c r="H205" s="735"/>
      <c r="I205" s="735"/>
      <c r="J205" s="735"/>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734"/>
      <c r="C209" s="735"/>
      <c r="D209" s="735"/>
      <c r="E209" s="735"/>
      <c r="F209" s="735"/>
      <c r="G209" s="735"/>
      <c r="H209" s="735"/>
      <c r="I209" s="735"/>
      <c r="J209" s="735"/>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743"/>
      <c r="C211" s="744"/>
      <c r="D211" s="744"/>
      <c r="E211" s="744"/>
      <c r="F211" s="744"/>
      <c r="G211" s="744"/>
      <c r="H211" s="744"/>
      <c r="I211" s="744"/>
      <c r="J211" s="744"/>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734"/>
      <c r="C218" s="735"/>
      <c r="D218" s="735"/>
      <c r="E218" s="735"/>
      <c r="F218" s="735"/>
      <c r="G218" s="735"/>
      <c r="H218" s="735"/>
      <c r="I218" s="735"/>
      <c r="J218" s="735"/>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743"/>
      <c r="C222" s="744"/>
      <c r="D222" s="744"/>
      <c r="E222" s="744"/>
      <c r="F222" s="744"/>
      <c r="G222" s="744"/>
      <c r="H222" s="744"/>
      <c r="I222" s="744"/>
      <c r="J222" s="745"/>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743"/>
      <c r="C225" s="744"/>
      <c r="D225" s="744"/>
      <c r="E225" s="744"/>
      <c r="F225" s="744"/>
      <c r="G225" s="744"/>
      <c r="H225" s="744"/>
      <c r="I225" s="744"/>
      <c r="J225" s="745"/>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743"/>
      <c r="C228" s="744"/>
      <c r="D228" s="744"/>
      <c r="E228" s="744"/>
      <c r="F228" s="744"/>
      <c r="G228" s="744"/>
      <c r="H228" s="744"/>
      <c r="I228" s="744"/>
      <c r="J228" s="745"/>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734"/>
      <c r="C231" s="735"/>
      <c r="D231" s="735"/>
      <c r="E231" s="735"/>
      <c r="F231" s="735"/>
      <c r="G231" s="735"/>
      <c r="H231" s="735"/>
      <c r="I231" s="735"/>
      <c r="J231" s="735"/>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736"/>
      <c r="C232" s="737"/>
      <c r="D232" s="737"/>
      <c r="E232" s="737"/>
      <c r="F232" s="737"/>
      <c r="G232" s="737"/>
      <c r="H232" s="737"/>
      <c r="I232" s="737"/>
      <c r="J232" s="737"/>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734"/>
      <c r="C235" s="735"/>
      <c r="D235" s="735"/>
      <c r="E235" s="735"/>
      <c r="F235" s="735"/>
      <c r="G235" s="735"/>
      <c r="H235" s="735"/>
      <c r="I235" s="735"/>
      <c r="J235" s="735"/>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734"/>
      <c r="C238" s="735"/>
      <c r="D238" s="735"/>
      <c r="E238" s="735"/>
      <c r="F238" s="735"/>
      <c r="G238" s="735"/>
      <c r="H238" s="735"/>
      <c r="I238" s="735"/>
      <c r="J238" s="735"/>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734"/>
      <c r="C243" s="735"/>
      <c r="D243" s="735"/>
      <c r="E243" s="735"/>
      <c r="F243" s="735"/>
      <c r="G243" s="735"/>
      <c r="H243" s="735"/>
      <c r="I243" s="735"/>
      <c r="J243" s="735"/>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736"/>
      <c r="C244" s="737"/>
      <c r="D244" s="737"/>
      <c r="E244" s="737"/>
      <c r="F244" s="737"/>
      <c r="G244" s="737"/>
      <c r="H244" s="737"/>
      <c r="I244" s="737"/>
      <c r="J244" s="737"/>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736"/>
      <c r="C245" s="737"/>
      <c r="D245" s="737"/>
      <c r="E245" s="737"/>
      <c r="F245" s="737"/>
      <c r="G245" s="737"/>
      <c r="H245" s="737"/>
      <c r="I245" s="737"/>
      <c r="J245" s="737"/>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736"/>
      <c r="C246" s="737"/>
      <c r="D246" s="737"/>
      <c r="E246" s="737"/>
      <c r="F246" s="737"/>
      <c r="G246" s="737"/>
      <c r="H246" s="737"/>
      <c r="I246" s="737"/>
      <c r="J246" s="737"/>
      <c r="K246" s="176" t="s">
        <v>315</v>
      </c>
      <c r="L246" s="179" t="s">
        <v>226</v>
      </c>
      <c r="M246" s="179"/>
      <c r="N246" s="135">
        <v>43983</v>
      </c>
      <c r="O246" s="158" t="s">
        <v>296</v>
      </c>
      <c r="P246" s="158"/>
      <c r="Q246" s="125"/>
      <c r="R246" s="390">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736"/>
      <c r="C247" s="737"/>
      <c r="D247" s="737"/>
      <c r="E247" s="737"/>
      <c r="F247" s="737"/>
      <c r="G247" s="737"/>
      <c r="H247" s="737"/>
      <c r="I247" s="737"/>
      <c r="J247" s="737"/>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736"/>
      <c r="C248" s="737"/>
      <c r="D248" s="737"/>
      <c r="E248" s="737"/>
      <c r="F248" s="737"/>
      <c r="G248" s="737"/>
      <c r="H248" s="737"/>
      <c r="I248" s="737"/>
      <c r="J248" s="737"/>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736"/>
      <c r="C249" s="737"/>
      <c r="D249" s="737"/>
      <c r="E249" s="737"/>
      <c r="F249" s="737"/>
      <c r="G249" s="737"/>
      <c r="H249" s="737"/>
      <c r="I249" s="737"/>
      <c r="J249" s="737"/>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736"/>
      <c r="C250" s="737"/>
      <c r="D250" s="737"/>
      <c r="E250" s="737"/>
      <c r="F250" s="737"/>
      <c r="G250" s="737"/>
      <c r="H250" s="737"/>
      <c r="I250" s="737"/>
      <c r="J250" s="737"/>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736"/>
      <c r="C251" s="737"/>
      <c r="D251" s="737"/>
      <c r="E251" s="737"/>
      <c r="F251" s="737"/>
      <c r="G251" s="737"/>
      <c r="H251" s="737"/>
      <c r="I251" s="737"/>
      <c r="J251" s="737"/>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736"/>
      <c r="C252" s="737"/>
      <c r="D252" s="737"/>
      <c r="E252" s="737"/>
      <c r="F252" s="737"/>
      <c r="G252" s="737"/>
      <c r="H252" s="737"/>
      <c r="I252" s="737"/>
      <c r="J252" s="737"/>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734"/>
      <c r="C254" s="735"/>
      <c r="D254" s="735"/>
      <c r="E254" s="735"/>
      <c r="F254" s="735"/>
      <c r="G254" s="735"/>
      <c r="H254" s="735"/>
      <c r="I254" s="735"/>
      <c r="J254" s="735"/>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736"/>
      <c r="C255" s="737"/>
      <c r="D255" s="737"/>
      <c r="E255" s="737"/>
      <c r="F255" s="737"/>
      <c r="G255" s="737"/>
      <c r="H255" s="737"/>
      <c r="I255" s="737"/>
      <c r="J255" s="737"/>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736"/>
      <c r="C256" s="737"/>
      <c r="D256" s="737"/>
      <c r="E256" s="737"/>
      <c r="F256" s="737"/>
      <c r="G256" s="737"/>
      <c r="H256" s="737"/>
      <c r="I256" s="737"/>
      <c r="J256" s="737"/>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734"/>
      <c r="C258" s="735"/>
      <c r="D258" s="735"/>
      <c r="E258" s="735"/>
      <c r="F258" s="735"/>
      <c r="G258" s="735"/>
      <c r="H258" s="735"/>
      <c r="I258" s="735"/>
      <c r="J258" s="735"/>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736"/>
      <c r="C259" s="737"/>
      <c r="D259" s="737"/>
      <c r="E259" s="737"/>
      <c r="F259" s="737"/>
      <c r="G259" s="737"/>
      <c r="H259" s="737"/>
      <c r="I259" s="737"/>
      <c r="J259" s="737"/>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734"/>
      <c r="C268" s="735"/>
      <c r="D268" s="735"/>
      <c r="E268" s="735"/>
      <c r="F268" s="735"/>
      <c r="G268" s="735"/>
      <c r="H268" s="735"/>
      <c r="I268" s="735"/>
      <c r="J268" s="735"/>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734"/>
      <c r="C273" s="735"/>
      <c r="D273" s="735"/>
      <c r="E273" s="735"/>
      <c r="F273" s="735"/>
      <c r="G273" s="735"/>
      <c r="H273" s="735"/>
      <c r="I273" s="735"/>
      <c r="J273" s="735"/>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734"/>
      <c r="C277" s="735"/>
      <c r="D277" s="735"/>
      <c r="E277" s="735"/>
      <c r="F277" s="735"/>
      <c r="G277" s="735"/>
      <c r="H277" s="735"/>
      <c r="I277" s="735"/>
      <c r="J277" s="735"/>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736"/>
      <c r="C281" s="737"/>
      <c r="D281" s="737"/>
      <c r="E281" s="737"/>
      <c r="F281" s="737"/>
      <c r="G281" s="737"/>
      <c r="H281" s="737"/>
      <c r="I281" s="737"/>
      <c r="J281" s="737"/>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734"/>
      <c r="C287" s="735"/>
      <c r="D287" s="735"/>
      <c r="E287" s="735"/>
      <c r="F287" s="735"/>
      <c r="G287" s="735"/>
      <c r="H287" s="735"/>
      <c r="I287" s="735"/>
      <c r="J287" s="735"/>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734"/>
      <c r="C291" s="735"/>
      <c r="D291" s="735"/>
      <c r="E291" s="735"/>
      <c r="F291" s="735"/>
      <c r="G291" s="735"/>
      <c r="H291" s="735"/>
      <c r="I291" s="735"/>
      <c r="J291" s="735"/>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734"/>
      <c r="C294" s="735"/>
      <c r="D294" s="735"/>
      <c r="E294" s="735"/>
      <c r="F294" s="735"/>
      <c r="G294" s="735"/>
      <c r="H294" s="735"/>
      <c r="I294" s="735"/>
      <c r="J294" s="735"/>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734"/>
      <c r="C296" s="735"/>
      <c r="D296" s="735"/>
      <c r="E296" s="735"/>
      <c r="F296" s="735"/>
      <c r="G296" s="735"/>
      <c r="H296" s="735"/>
      <c r="I296" s="735"/>
      <c r="J296" s="735"/>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741"/>
      <c r="C299" s="742"/>
      <c r="D299" s="742"/>
      <c r="E299" s="742"/>
      <c r="F299" s="742"/>
      <c r="G299" s="742"/>
      <c r="H299" s="742"/>
      <c r="I299" s="742"/>
      <c r="J299" s="742"/>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741"/>
      <c r="C301" s="742"/>
      <c r="D301" s="742"/>
      <c r="E301" s="742"/>
      <c r="F301" s="742"/>
      <c r="G301" s="742"/>
      <c r="H301" s="742"/>
      <c r="I301" s="742"/>
      <c r="J301" s="742"/>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734"/>
      <c r="C306" s="735"/>
      <c r="D306" s="735"/>
      <c r="E306" s="735"/>
      <c r="F306" s="735"/>
      <c r="G306" s="735"/>
      <c r="H306" s="735"/>
      <c r="I306" s="735"/>
      <c r="J306" s="735"/>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734"/>
      <c r="C308" s="735"/>
      <c r="D308" s="735"/>
      <c r="E308" s="735"/>
      <c r="F308" s="735"/>
      <c r="G308" s="735"/>
      <c r="H308" s="735"/>
      <c r="I308" s="735"/>
      <c r="J308" s="735"/>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734"/>
      <c r="C310" s="735"/>
      <c r="D310" s="735"/>
      <c r="E310" s="735"/>
      <c r="F310" s="735"/>
      <c r="G310" s="735"/>
      <c r="H310" s="735"/>
      <c r="I310" s="735"/>
      <c r="J310" s="735"/>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734"/>
      <c r="C313" s="735"/>
      <c r="D313" s="735"/>
      <c r="E313" s="735"/>
      <c r="F313" s="735"/>
      <c r="G313" s="735"/>
      <c r="H313" s="735"/>
      <c r="I313" s="735"/>
      <c r="J313" s="735"/>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734"/>
      <c r="C315" s="735"/>
      <c r="D315" s="735"/>
      <c r="E315" s="735"/>
      <c r="F315" s="735"/>
      <c r="G315" s="735"/>
      <c r="H315" s="735"/>
      <c r="I315" s="735"/>
      <c r="J315" s="735"/>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734"/>
      <c r="C321" s="735"/>
      <c r="D321" s="735"/>
      <c r="E321" s="735"/>
      <c r="F321" s="735"/>
      <c r="G321" s="735"/>
      <c r="H321" s="735"/>
      <c r="I321" s="735"/>
      <c r="J321" s="735"/>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736"/>
      <c r="C322" s="737"/>
      <c r="D322" s="737"/>
      <c r="E322" s="737"/>
      <c r="F322" s="737"/>
      <c r="G322" s="737"/>
      <c r="H322" s="737"/>
      <c r="I322" s="737"/>
      <c r="J322" s="737"/>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736"/>
      <c r="C323" s="737"/>
      <c r="D323" s="737"/>
      <c r="E323" s="737"/>
      <c r="F323" s="737"/>
      <c r="G323" s="737"/>
      <c r="H323" s="737"/>
      <c r="I323" s="737"/>
      <c r="J323" s="737"/>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736"/>
      <c r="C324" s="737"/>
      <c r="D324" s="737"/>
      <c r="E324" s="737"/>
      <c r="F324" s="737"/>
      <c r="G324" s="737"/>
      <c r="H324" s="737"/>
      <c r="I324" s="737"/>
      <c r="J324" s="737"/>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736"/>
      <c r="C325" s="737"/>
      <c r="D325" s="737"/>
      <c r="E325" s="737"/>
      <c r="F325" s="737"/>
      <c r="G325" s="737"/>
      <c r="H325" s="737"/>
      <c r="I325" s="737"/>
      <c r="J325" s="737"/>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736"/>
      <c r="C326" s="737"/>
      <c r="D326" s="737"/>
      <c r="E326" s="737"/>
      <c r="F326" s="737"/>
      <c r="G326" s="737"/>
      <c r="H326" s="737"/>
      <c r="I326" s="737"/>
      <c r="J326" s="737"/>
      <c r="K326" s="99">
        <v>90111500</v>
      </c>
      <c r="L326" s="178" t="s">
        <v>352</v>
      </c>
      <c r="M326" s="178"/>
      <c r="N326" s="134">
        <v>43840</v>
      </c>
      <c r="O326" s="157" t="s">
        <v>324</v>
      </c>
      <c r="P326" s="157"/>
      <c r="Q326" s="125"/>
      <c r="R326" s="101">
        <v>103250000</v>
      </c>
      <c r="S326" s="182" t="s">
        <v>322</v>
      </c>
      <c r="T326" s="101">
        <v>128250000</v>
      </c>
      <c r="U326" s="257" t="s">
        <v>359</v>
      </c>
      <c r="V326" s="710">
        <v>5720</v>
      </c>
      <c r="W326" s="713">
        <v>43847</v>
      </c>
      <c r="X326" s="716">
        <v>206500000</v>
      </c>
      <c r="Y326" s="716">
        <v>206500000</v>
      </c>
      <c r="Z326" s="704"/>
      <c r="AA326" s="704"/>
      <c r="AB326" s="704"/>
      <c r="AC326" s="704"/>
      <c r="AD326" s="704"/>
      <c r="AG326" s="273"/>
      <c r="AH326" s="273"/>
    </row>
    <row r="327" spans="2:34" ht="30" customHeight="1" x14ac:dyDescent="0.2">
      <c r="B327" s="736"/>
      <c r="C327" s="737"/>
      <c r="D327" s="737"/>
      <c r="E327" s="737"/>
      <c r="F327" s="737"/>
      <c r="G327" s="737"/>
      <c r="H327" s="737"/>
      <c r="I327" s="737"/>
      <c r="J327" s="737"/>
      <c r="K327" s="99">
        <v>90101500</v>
      </c>
      <c r="L327" s="178" t="s">
        <v>353</v>
      </c>
      <c r="M327" s="178"/>
      <c r="N327" s="134">
        <v>43840</v>
      </c>
      <c r="O327" s="157" t="s">
        <v>324</v>
      </c>
      <c r="P327" s="157"/>
      <c r="Q327" s="125"/>
      <c r="R327" s="101">
        <v>103250000</v>
      </c>
      <c r="S327" s="182" t="s">
        <v>322</v>
      </c>
      <c r="T327" s="101">
        <v>128250000</v>
      </c>
      <c r="U327" s="257" t="s">
        <v>359</v>
      </c>
      <c r="V327" s="712"/>
      <c r="W327" s="715"/>
      <c r="X327" s="718"/>
      <c r="Y327" s="718"/>
      <c r="Z327" s="706"/>
      <c r="AA327" s="706"/>
      <c r="AB327" s="706"/>
      <c r="AC327" s="706"/>
      <c r="AD327" s="706"/>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734"/>
      <c r="C330" s="735"/>
      <c r="D330" s="735"/>
      <c r="E330" s="735"/>
      <c r="F330" s="735"/>
      <c r="G330" s="735"/>
      <c r="H330" s="735"/>
      <c r="I330" s="735"/>
      <c r="J330" s="735"/>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736"/>
      <c r="C331" s="737"/>
      <c r="D331" s="737"/>
      <c r="E331" s="737"/>
      <c r="F331" s="737"/>
      <c r="G331" s="737"/>
      <c r="H331" s="737"/>
      <c r="I331" s="737"/>
      <c r="J331" s="737"/>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736"/>
      <c r="C332" s="737"/>
      <c r="D332" s="737"/>
      <c r="E332" s="737"/>
      <c r="F332" s="737"/>
      <c r="G332" s="737"/>
      <c r="H332" s="737"/>
      <c r="I332" s="737"/>
      <c r="J332" s="737"/>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736"/>
      <c r="C333" s="737"/>
      <c r="D333" s="737"/>
      <c r="E333" s="737"/>
      <c r="F333" s="737"/>
      <c r="G333" s="737"/>
      <c r="H333" s="737"/>
      <c r="I333" s="737"/>
      <c r="J333" s="737"/>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736"/>
      <c r="C334" s="737"/>
      <c r="D334" s="737"/>
      <c r="E334" s="737"/>
      <c r="F334" s="737"/>
      <c r="G334" s="737"/>
      <c r="H334" s="737"/>
      <c r="I334" s="737"/>
      <c r="J334" s="737"/>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736"/>
      <c r="C335" s="737"/>
      <c r="D335" s="737"/>
      <c r="E335" s="737"/>
      <c r="F335" s="737"/>
      <c r="G335" s="737"/>
      <c r="H335" s="737"/>
      <c r="I335" s="737"/>
      <c r="J335" s="737"/>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736"/>
      <c r="C336" s="737"/>
      <c r="D336" s="737"/>
      <c r="E336" s="737"/>
      <c r="F336" s="737"/>
      <c r="G336" s="737"/>
      <c r="H336" s="737"/>
      <c r="I336" s="737"/>
      <c r="J336" s="737"/>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736"/>
      <c r="C337" s="737"/>
      <c r="D337" s="737"/>
      <c r="E337" s="737"/>
      <c r="F337" s="737"/>
      <c r="G337" s="737"/>
      <c r="H337" s="737"/>
      <c r="I337" s="737"/>
      <c r="J337" s="737"/>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736"/>
      <c r="C338" s="737"/>
      <c r="D338" s="737"/>
      <c r="E338" s="737"/>
      <c r="F338" s="737"/>
      <c r="G338" s="737"/>
      <c r="H338" s="737"/>
      <c r="I338" s="737"/>
      <c r="J338" s="737"/>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736"/>
      <c r="C339" s="737"/>
      <c r="D339" s="737"/>
      <c r="E339" s="737"/>
      <c r="F339" s="737"/>
      <c r="G339" s="737"/>
      <c r="H339" s="737"/>
      <c r="I339" s="737"/>
      <c r="J339" s="737"/>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736"/>
      <c r="C340" s="737"/>
      <c r="D340" s="737"/>
      <c r="E340" s="737"/>
      <c r="F340" s="737"/>
      <c r="G340" s="737"/>
      <c r="H340" s="737"/>
      <c r="I340" s="737"/>
      <c r="J340" s="737"/>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736"/>
      <c r="C341" s="737"/>
      <c r="D341" s="737"/>
      <c r="E341" s="737"/>
      <c r="F341" s="737"/>
      <c r="G341" s="737"/>
      <c r="H341" s="737"/>
      <c r="I341" s="737"/>
      <c r="J341" s="737"/>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736"/>
      <c r="C342" s="737"/>
      <c r="D342" s="737"/>
      <c r="E342" s="737"/>
      <c r="F342" s="737"/>
      <c r="G342" s="737"/>
      <c r="H342" s="737"/>
      <c r="I342" s="737"/>
      <c r="J342" s="737"/>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736"/>
      <c r="C343" s="737"/>
      <c r="D343" s="737"/>
      <c r="E343" s="737"/>
      <c r="F343" s="737"/>
      <c r="G343" s="737"/>
      <c r="H343" s="737"/>
      <c r="I343" s="737"/>
      <c r="J343" s="737"/>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736"/>
      <c r="C344" s="737"/>
      <c r="D344" s="737"/>
      <c r="E344" s="737"/>
      <c r="F344" s="737"/>
      <c r="G344" s="737"/>
      <c r="H344" s="737"/>
      <c r="I344" s="737"/>
      <c r="J344" s="737"/>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736"/>
      <c r="C345" s="737"/>
      <c r="D345" s="737"/>
      <c r="E345" s="737"/>
      <c r="F345" s="737"/>
      <c r="G345" s="737"/>
      <c r="H345" s="737"/>
      <c r="I345" s="737"/>
      <c r="J345" s="737"/>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739"/>
      <c r="C346" s="740"/>
      <c r="D346" s="740"/>
      <c r="E346" s="740"/>
      <c r="F346" s="740"/>
      <c r="G346" s="740"/>
      <c r="H346" s="740"/>
      <c r="I346" s="740"/>
      <c r="J346" s="740"/>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738"/>
      <c r="C354" s="738"/>
      <c r="D354" s="738"/>
      <c r="E354" s="738"/>
      <c r="F354" s="738"/>
      <c r="G354" s="738"/>
      <c r="H354" s="738"/>
      <c r="I354" s="738"/>
      <c r="J354" s="738"/>
      <c r="K354" s="738"/>
    </row>
    <row r="359" spans="2:29" x14ac:dyDescent="0.2">
      <c r="AA359" s="385"/>
    </row>
    <row r="361" spans="2:29" x14ac:dyDescent="0.2">
      <c r="AA361" s="273"/>
      <c r="AC361" s="385"/>
    </row>
  </sheetData>
  <autoFilter ref="B6:AH354"/>
  <mergeCells count="113">
    <mergeCell ref="AA326:AA327"/>
    <mergeCell ref="AB326:AB327"/>
    <mergeCell ref="AC326:AC327"/>
    <mergeCell ref="AD326:AD327"/>
    <mergeCell ref="V326:V327"/>
    <mergeCell ref="W326:W327"/>
    <mergeCell ref="X326:X327"/>
    <mergeCell ref="Y326:Y327"/>
    <mergeCell ref="Z326:Z327"/>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B15:J15"/>
    <mergeCell ref="B29:J30"/>
    <mergeCell ref="B55:J56"/>
    <mergeCell ref="B58:J59"/>
    <mergeCell ref="B36:J36"/>
    <mergeCell ref="B39:J39"/>
    <mergeCell ref="B42:J42"/>
    <mergeCell ref="B44:J44"/>
    <mergeCell ref="B46:J48"/>
    <mergeCell ref="B50:J51"/>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3" sqref="A3"/>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BU340"/>
  <sheetViews>
    <sheetView tabSelected="1" topLeftCell="B1" zoomScale="90" zoomScaleNormal="90" workbookViewId="0">
      <pane ySplit="4230" topLeftCell="A136" activePane="bottomLeft"/>
      <selection activeCell="B2" sqref="B2"/>
      <selection pane="bottomLeft" activeCell="K142" sqref="K142"/>
    </sheetView>
  </sheetViews>
  <sheetFormatPr baseColWidth="10" defaultColWidth="11.5703125" defaultRowHeight="15" outlineLevelRow="1" outlineLevelCol="1" x14ac:dyDescent="0.2"/>
  <cols>
    <col min="1" max="1" width="3.85546875" style="393" customWidth="1"/>
    <col min="2" max="2" width="8.28515625" style="397" customWidth="1"/>
    <col min="3" max="3" width="12.5703125" style="397" customWidth="1"/>
    <col min="4" max="4" width="13.140625" style="397" customWidth="1" outlineLevel="1"/>
    <col min="5" max="5" width="9.7109375" style="397" customWidth="1" outlineLevel="1"/>
    <col min="6" max="6" width="10" style="397" customWidth="1" outlineLevel="1"/>
    <col min="7" max="7" width="9.7109375" style="397" customWidth="1" outlineLevel="1"/>
    <col min="8" max="8" width="8.5703125" style="397" customWidth="1" outlineLevel="1"/>
    <col min="9" max="9" width="10.28515625" style="397" customWidth="1" outlineLevel="1"/>
    <col min="10" max="10" width="9.7109375" style="397" customWidth="1" outlineLevel="1"/>
    <col min="11" max="11" width="24" style="397" customWidth="1" outlineLevel="1"/>
    <col min="12" max="12" width="75.28515625" style="603" customWidth="1"/>
    <col min="13" max="13" width="15.7109375" style="603" customWidth="1"/>
    <col min="14" max="14" width="16.42578125" style="394" customWidth="1"/>
    <col min="15" max="15" width="14" style="395" customWidth="1"/>
    <col min="16" max="16" width="19.42578125" style="396" customWidth="1"/>
    <col min="17" max="17" width="30.28515625" style="393" customWidth="1"/>
    <col min="18" max="18" width="23.85546875" style="397" bestFit="1" customWidth="1"/>
    <col min="19" max="19" width="24.28515625" style="393" customWidth="1"/>
    <col min="20" max="20" width="35.140625" style="398" customWidth="1" outlineLevel="1"/>
    <col min="21" max="21" width="24.7109375" style="399" customWidth="1" outlineLevel="1"/>
    <col min="22" max="22" width="24.7109375" style="400" customWidth="1" outlineLevel="1"/>
    <col min="23" max="23" width="24.7109375" style="393" customWidth="1" outlineLevel="1"/>
    <col min="24" max="28" width="24.7109375" style="393" customWidth="1"/>
    <col min="29" max="29" width="19.140625" style="393" bestFit="1" customWidth="1"/>
    <col min="30" max="30" width="20" style="393" bestFit="1" customWidth="1"/>
    <col min="31" max="31" width="19.140625" style="393" bestFit="1" customWidth="1"/>
    <col min="32" max="32" width="15.42578125" style="393" bestFit="1" customWidth="1"/>
    <col min="33" max="33" width="18.85546875" style="393" customWidth="1"/>
    <col min="34" max="16384" width="11.5703125" style="393"/>
  </cols>
  <sheetData>
    <row r="1" spans="2:33" ht="15.6" customHeight="1" x14ac:dyDescent="0.2">
      <c r="B1" s="393"/>
      <c r="C1" s="393"/>
      <c r="D1" s="393"/>
      <c r="E1" s="393"/>
      <c r="F1" s="393"/>
      <c r="G1" s="393"/>
      <c r="H1" s="393"/>
      <c r="I1" s="393"/>
      <c r="J1" s="393"/>
      <c r="K1" s="393"/>
      <c r="L1" s="393"/>
      <c r="M1" s="393"/>
    </row>
    <row r="2" spans="2:33" ht="15.75" x14ac:dyDescent="0.25">
      <c r="B2" s="401" t="s">
        <v>727</v>
      </c>
      <c r="C2" s="393"/>
      <c r="D2" s="393"/>
      <c r="E2" s="393"/>
      <c r="F2" s="393"/>
      <c r="G2" s="393"/>
      <c r="H2" s="393"/>
      <c r="I2" s="393"/>
      <c r="J2" s="393"/>
      <c r="K2" s="393"/>
      <c r="L2" s="393"/>
      <c r="M2" s="393"/>
    </row>
    <row r="3" spans="2:33" ht="15.6" customHeight="1" x14ac:dyDescent="0.25">
      <c r="B3" s="401"/>
      <c r="C3" s="393"/>
      <c r="D3" s="393"/>
      <c r="E3" s="393"/>
      <c r="F3" s="393"/>
      <c r="G3" s="393"/>
      <c r="H3" s="393"/>
      <c r="I3" s="393"/>
      <c r="J3" s="393"/>
      <c r="K3" s="393"/>
      <c r="L3" s="393"/>
      <c r="M3" s="393"/>
    </row>
    <row r="4" spans="2:33" ht="15.75" x14ac:dyDescent="0.25">
      <c r="B4" s="401" t="s">
        <v>168</v>
      </c>
      <c r="C4" s="393"/>
      <c r="D4" s="393"/>
      <c r="E4" s="393"/>
      <c r="F4" s="393"/>
      <c r="G4" s="393"/>
      <c r="H4" s="393"/>
      <c r="I4" s="393"/>
      <c r="J4" s="393"/>
      <c r="K4" s="393"/>
      <c r="M4" s="393"/>
    </row>
    <row r="5" spans="2:33" ht="15.75" thickBot="1" x14ac:dyDescent="0.25">
      <c r="B5" s="393"/>
      <c r="C5" s="393"/>
      <c r="D5" s="393"/>
      <c r="E5" s="393"/>
      <c r="F5" s="393"/>
      <c r="G5" s="393"/>
      <c r="H5" s="393"/>
      <c r="I5" s="393"/>
      <c r="J5" s="393"/>
      <c r="K5" s="393"/>
      <c r="L5" s="393"/>
      <c r="M5" s="393"/>
      <c r="Y5" s="393" t="s">
        <v>700</v>
      </c>
      <c r="Z5" s="393" t="s">
        <v>699</v>
      </c>
      <c r="AA5" s="393" t="s">
        <v>698</v>
      </c>
    </row>
    <row r="6" spans="2:33" ht="112.5" customHeight="1" thickBot="1" x14ac:dyDescent="0.25">
      <c r="B6" s="402" t="s">
        <v>134</v>
      </c>
      <c r="C6" s="403" t="s">
        <v>0</v>
      </c>
      <c r="D6" s="403" t="s">
        <v>1</v>
      </c>
      <c r="E6" s="403" t="s">
        <v>2</v>
      </c>
      <c r="F6" s="403" t="s">
        <v>3</v>
      </c>
      <c r="G6" s="403" t="s">
        <v>4</v>
      </c>
      <c r="H6" s="403" t="s">
        <v>5</v>
      </c>
      <c r="I6" s="403" t="s">
        <v>6</v>
      </c>
      <c r="J6" s="404" t="s">
        <v>135</v>
      </c>
      <c r="K6" s="405" t="s">
        <v>163</v>
      </c>
      <c r="L6" s="406" t="s">
        <v>164</v>
      </c>
      <c r="M6" s="406" t="s">
        <v>461</v>
      </c>
      <c r="N6" s="407" t="s">
        <v>460</v>
      </c>
      <c r="O6" s="406" t="s">
        <v>161</v>
      </c>
      <c r="P6" s="406" t="s">
        <v>162</v>
      </c>
      <c r="Q6" s="406" t="s">
        <v>463</v>
      </c>
      <c r="R6" s="658" t="s">
        <v>462</v>
      </c>
      <c r="S6" s="658" t="s">
        <v>464</v>
      </c>
      <c r="T6" s="408" t="s">
        <v>166</v>
      </c>
      <c r="U6" s="409" t="s">
        <v>416</v>
      </c>
      <c r="V6" s="410" t="s">
        <v>417</v>
      </c>
      <c r="W6" s="411" t="s">
        <v>418</v>
      </c>
      <c r="X6" s="411" t="s">
        <v>419</v>
      </c>
      <c r="Y6" s="411" t="s">
        <v>422</v>
      </c>
      <c r="Z6" s="411" t="s">
        <v>421</v>
      </c>
      <c r="AA6" s="411" t="s">
        <v>420</v>
      </c>
      <c r="AB6" s="411" t="s">
        <v>424</v>
      </c>
      <c r="AE6" s="674"/>
    </row>
    <row r="7" spans="2:33" ht="15.75" customHeight="1" x14ac:dyDescent="0.2">
      <c r="B7" s="412" t="s">
        <v>7</v>
      </c>
      <c r="C7" s="413" t="s">
        <v>20</v>
      </c>
      <c r="D7" s="413"/>
      <c r="E7" s="413"/>
      <c r="F7" s="413"/>
      <c r="G7" s="413"/>
      <c r="H7" s="413"/>
      <c r="I7" s="413"/>
      <c r="J7" s="414"/>
      <c r="K7" s="415"/>
      <c r="L7" s="638" t="s">
        <v>412</v>
      </c>
      <c r="M7" s="416"/>
      <c r="N7" s="416"/>
      <c r="O7" s="417"/>
      <c r="P7" s="417"/>
      <c r="Q7" s="616">
        <f>+Q8+Q29</f>
        <v>5173000000</v>
      </c>
      <c r="R7" s="616">
        <f>+R8+R29</f>
        <v>0</v>
      </c>
      <c r="S7" s="616">
        <f>+S8+S29</f>
        <v>541654943</v>
      </c>
      <c r="T7" s="418"/>
      <c r="U7" s="662"/>
      <c r="V7" s="663"/>
      <c r="W7" s="664">
        <f t="shared" ref="W7:AB7" si="0">+W8+W29</f>
        <v>27022916221</v>
      </c>
      <c r="X7" s="664">
        <f t="shared" si="0"/>
        <v>2269358661.0699997</v>
      </c>
      <c r="Y7" s="664">
        <f>+Y8+Y29</f>
        <v>753000515.86000001</v>
      </c>
      <c r="Z7" s="664">
        <f>+Z8+Z29</f>
        <v>2870653953</v>
      </c>
      <c r="AA7" s="664">
        <f t="shared" si="0"/>
        <v>1516358145.21</v>
      </c>
      <c r="AB7" s="664">
        <f t="shared" si="0"/>
        <v>2870653953</v>
      </c>
      <c r="AC7" s="674"/>
      <c r="AD7" s="659"/>
      <c r="AE7" s="659"/>
      <c r="AG7" s="661"/>
    </row>
    <row r="8" spans="2:33" s="401" customFormat="1" ht="15.75" customHeight="1" outlineLevel="1" x14ac:dyDescent="0.25">
      <c r="B8" s="420" t="s">
        <v>7</v>
      </c>
      <c r="C8" s="421" t="s">
        <v>20</v>
      </c>
      <c r="D8" s="421" t="s">
        <v>8</v>
      </c>
      <c r="E8" s="421"/>
      <c r="F8" s="421"/>
      <c r="G8" s="421"/>
      <c r="H8" s="421"/>
      <c r="I8" s="421"/>
      <c r="J8" s="422"/>
      <c r="K8" s="420"/>
      <c r="L8" s="639" t="s">
        <v>25</v>
      </c>
      <c r="M8" s="423"/>
      <c r="N8" s="423"/>
      <c r="O8" s="424"/>
      <c r="P8" s="424"/>
      <c r="Q8" s="617">
        <f>+Q9</f>
        <v>338077645.93000001</v>
      </c>
      <c r="R8" s="617">
        <f t="shared" ref="R8:S8" si="1">+R9</f>
        <v>0</v>
      </c>
      <c r="S8" s="617">
        <f t="shared" si="1"/>
        <v>0</v>
      </c>
      <c r="T8" s="425"/>
      <c r="U8" s="662"/>
      <c r="V8" s="663"/>
      <c r="W8" s="664">
        <f t="shared" ref="W8" si="2">+W9</f>
        <v>326000000</v>
      </c>
      <c r="X8" s="664">
        <f t="shared" ref="X8" si="3">+X9</f>
        <v>305897900</v>
      </c>
      <c r="Y8" s="664">
        <f t="shared" ref="Y8" si="4">+Y9</f>
        <v>259000000</v>
      </c>
      <c r="Z8" s="664">
        <f t="shared" ref="Z8" si="5">+Z9</f>
        <v>4025000</v>
      </c>
      <c r="AA8" s="664">
        <f t="shared" ref="AA8" si="6">+AA9</f>
        <v>46897900</v>
      </c>
      <c r="AB8" s="664">
        <f t="shared" ref="AB8" si="7">+AB9</f>
        <v>4025000</v>
      </c>
      <c r="AC8" s="660"/>
      <c r="AD8" s="660"/>
      <c r="AG8" s="661"/>
    </row>
    <row r="9" spans="2:33" ht="15" customHeight="1" outlineLevel="1" x14ac:dyDescent="0.2">
      <c r="B9" s="426" t="s">
        <v>7</v>
      </c>
      <c r="C9" s="427" t="s">
        <v>20</v>
      </c>
      <c r="D9" s="427" t="s">
        <v>8</v>
      </c>
      <c r="E9" s="427" t="s">
        <v>8</v>
      </c>
      <c r="F9" s="427"/>
      <c r="G9" s="427"/>
      <c r="H9" s="427"/>
      <c r="I9" s="427"/>
      <c r="J9" s="428"/>
      <c r="K9" s="426"/>
      <c r="L9" s="640" t="s">
        <v>26</v>
      </c>
      <c r="M9" s="429"/>
      <c r="N9" s="429"/>
      <c r="O9" s="430"/>
      <c r="P9" s="430"/>
      <c r="Q9" s="618">
        <f>+Q10+Q23</f>
        <v>338077645.93000001</v>
      </c>
      <c r="R9" s="618">
        <f>+R10+R23</f>
        <v>0</v>
      </c>
      <c r="S9" s="618">
        <f>+S10+S23</f>
        <v>0</v>
      </c>
      <c r="T9" s="431"/>
      <c r="U9" s="662"/>
      <c r="V9" s="665"/>
      <c r="W9" s="664">
        <f t="shared" ref="W9:AB9" si="8">+W10+W23</f>
        <v>326000000</v>
      </c>
      <c r="X9" s="664">
        <f t="shared" si="8"/>
        <v>305897900</v>
      </c>
      <c r="Y9" s="664">
        <f>+Y10+Y23</f>
        <v>259000000</v>
      </c>
      <c r="Z9" s="664">
        <f>+Z10+Z23</f>
        <v>4025000</v>
      </c>
      <c r="AA9" s="664">
        <f t="shared" si="8"/>
        <v>46897900</v>
      </c>
      <c r="AB9" s="664">
        <f t="shared" si="8"/>
        <v>4025000</v>
      </c>
      <c r="AD9" s="661"/>
      <c r="AG9" s="661"/>
    </row>
    <row r="10" spans="2:33" ht="15" customHeight="1" outlineLevel="1" x14ac:dyDescent="0.2">
      <c r="B10" s="434" t="s">
        <v>7</v>
      </c>
      <c r="C10" s="435" t="s">
        <v>20</v>
      </c>
      <c r="D10" s="435" t="s">
        <v>8</v>
      </c>
      <c r="E10" s="435" t="s">
        <v>8</v>
      </c>
      <c r="F10" s="435" t="s">
        <v>12</v>
      </c>
      <c r="G10" s="435"/>
      <c r="H10" s="435"/>
      <c r="I10" s="435"/>
      <c r="J10" s="436"/>
      <c r="K10" s="434"/>
      <c r="L10" s="641" t="s">
        <v>36</v>
      </c>
      <c r="M10" s="437"/>
      <c r="N10" s="437"/>
      <c r="O10" s="438"/>
      <c r="P10" s="438"/>
      <c r="Q10" s="619">
        <f>+Q11+Q17+Q20</f>
        <v>198077645.93000001</v>
      </c>
      <c r="R10" s="619">
        <f>+R11+R17+R20</f>
        <v>0</v>
      </c>
      <c r="S10" s="619">
        <f>+S11+S17+S20</f>
        <v>0</v>
      </c>
      <c r="T10" s="439"/>
      <c r="U10" s="662"/>
      <c r="V10" s="665"/>
      <c r="W10" s="664">
        <f t="shared" ref="W10:AB10" si="9">+W11+W17+W20</f>
        <v>186000000</v>
      </c>
      <c r="X10" s="664">
        <f t="shared" si="9"/>
        <v>165897900</v>
      </c>
      <c r="Y10" s="664">
        <f>+Y11+Y17+Y20</f>
        <v>119000000</v>
      </c>
      <c r="Z10" s="664">
        <f>+Z11+Z17+Z20</f>
        <v>4025000</v>
      </c>
      <c r="AA10" s="664">
        <f t="shared" si="9"/>
        <v>46897900</v>
      </c>
      <c r="AB10" s="664">
        <f t="shared" si="9"/>
        <v>4025000</v>
      </c>
      <c r="AG10" s="661"/>
    </row>
    <row r="11" spans="2:33" ht="15" customHeight="1" outlineLevel="1" x14ac:dyDescent="0.2">
      <c r="B11" s="440" t="s">
        <v>7</v>
      </c>
      <c r="C11" s="441" t="s">
        <v>20</v>
      </c>
      <c r="D11" s="441" t="s">
        <v>8</v>
      </c>
      <c r="E11" s="441" t="s">
        <v>8</v>
      </c>
      <c r="F11" s="441" t="s">
        <v>12</v>
      </c>
      <c r="G11" s="441" t="s">
        <v>12</v>
      </c>
      <c r="H11" s="441"/>
      <c r="I11" s="441"/>
      <c r="J11" s="442"/>
      <c r="K11" s="440"/>
      <c r="L11" s="642" t="s">
        <v>39</v>
      </c>
      <c r="M11" s="443"/>
      <c r="N11" s="443"/>
      <c r="O11" s="444"/>
      <c r="P11" s="444"/>
      <c r="Q11" s="620">
        <f>+Q12</f>
        <v>147154745.93000001</v>
      </c>
      <c r="R11" s="620">
        <f t="shared" ref="R11:S11" si="10">+R12</f>
        <v>0</v>
      </c>
      <c r="S11" s="620">
        <f t="shared" si="10"/>
        <v>0</v>
      </c>
      <c r="T11" s="445"/>
      <c r="U11" s="662"/>
      <c r="V11" s="665"/>
      <c r="W11" s="664">
        <f t="shared" ref="W11" si="11">+W12</f>
        <v>119000000</v>
      </c>
      <c r="X11" s="664">
        <f t="shared" ref="X11" si="12">+X12</f>
        <v>119000000</v>
      </c>
      <c r="Y11" s="664">
        <f t="shared" ref="Y11" si="13">+Y12</f>
        <v>119000000</v>
      </c>
      <c r="Z11" s="664">
        <f t="shared" ref="Z11" si="14">+Z12</f>
        <v>0</v>
      </c>
      <c r="AA11" s="664">
        <f t="shared" ref="AA11" si="15">+AA12</f>
        <v>0</v>
      </c>
      <c r="AB11" s="664">
        <f t="shared" ref="AB11" si="16">+AB12</f>
        <v>0</v>
      </c>
      <c r="AG11" s="661"/>
    </row>
    <row r="12" spans="2:33" ht="15" customHeight="1" outlineLevel="1" x14ac:dyDescent="0.2">
      <c r="B12" s="446" t="s">
        <v>7</v>
      </c>
      <c r="C12" s="447" t="s">
        <v>20</v>
      </c>
      <c r="D12" s="447" t="s">
        <v>8</v>
      </c>
      <c r="E12" s="447" t="s">
        <v>8</v>
      </c>
      <c r="F12" s="447" t="s">
        <v>12</v>
      </c>
      <c r="G12" s="447" t="s">
        <v>12</v>
      </c>
      <c r="H12" s="448" t="s">
        <v>20</v>
      </c>
      <c r="I12" s="447"/>
      <c r="J12" s="449"/>
      <c r="K12" s="446"/>
      <c r="L12" s="643" t="s">
        <v>40</v>
      </c>
      <c r="M12" s="450"/>
      <c r="N12" s="450"/>
      <c r="O12" s="451"/>
      <c r="P12" s="451"/>
      <c r="Q12" s="621">
        <f>SUM(Q13:Q16)</f>
        <v>147154745.93000001</v>
      </c>
      <c r="R12" s="621">
        <f>SUM(R13:R16)</f>
        <v>0</v>
      </c>
      <c r="S12" s="621">
        <f>SUM(S13:S16)</f>
        <v>0</v>
      </c>
      <c r="T12" s="452"/>
      <c r="U12" s="662"/>
      <c r="V12" s="665"/>
      <c r="W12" s="664">
        <f t="shared" ref="W12:AB12" si="17">SUM(W13:W16)</f>
        <v>119000000</v>
      </c>
      <c r="X12" s="664">
        <f t="shared" si="17"/>
        <v>119000000</v>
      </c>
      <c r="Y12" s="664">
        <f>SUM(Y13:Y16)</f>
        <v>119000000</v>
      </c>
      <c r="Z12" s="664">
        <f>SUM(Z13:Z16)</f>
        <v>0</v>
      </c>
      <c r="AA12" s="664">
        <f t="shared" si="17"/>
        <v>0</v>
      </c>
      <c r="AB12" s="664">
        <f t="shared" si="17"/>
        <v>0</v>
      </c>
      <c r="AG12" s="661"/>
    </row>
    <row r="13" spans="2:33" ht="75" outlineLevel="1" x14ac:dyDescent="0.2">
      <c r="B13" s="758"/>
      <c r="C13" s="754"/>
      <c r="D13" s="754"/>
      <c r="E13" s="754"/>
      <c r="F13" s="754"/>
      <c r="G13" s="754"/>
      <c r="H13" s="754"/>
      <c r="I13" s="754"/>
      <c r="J13" s="755"/>
      <c r="K13" s="453" t="s">
        <v>494</v>
      </c>
      <c r="L13" s="454" t="s">
        <v>495</v>
      </c>
      <c r="M13" s="455">
        <v>44696</v>
      </c>
      <c r="N13" s="455" t="s">
        <v>656</v>
      </c>
      <c r="O13" s="456" t="s">
        <v>496</v>
      </c>
      <c r="P13" s="456" t="s">
        <v>638</v>
      </c>
      <c r="Q13" s="457">
        <f>41000000+40000000</f>
        <v>81000000</v>
      </c>
      <c r="R13" s="458"/>
      <c r="S13" s="459"/>
      <c r="T13" s="460" t="s">
        <v>221</v>
      </c>
      <c r="U13" s="432">
        <v>50222</v>
      </c>
      <c r="V13" s="433">
        <v>44707</v>
      </c>
      <c r="W13" s="419">
        <v>41000000</v>
      </c>
      <c r="X13" s="419">
        <v>41000000</v>
      </c>
      <c r="Y13" s="689">
        <f>+X13-AA13</f>
        <v>41000000</v>
      </c>
      <c r="Z13" s="689">
        <f>+Q13-X13</f>
        <v>40000000</v>
      </c>
      <c r="AA13" s="419">
        <v>0</v>
      </c>
      <c r="AB13" s="419">
        <f>(Q13-X13)</f>
        <v>40000000</v>
      </c>
      <c r="AG13" s="661"/>
    </row>
    <row r="14" spans="2:33" ht="60" outlineLevel="1" x14ac:dyDescent="0.2">
      <c r="B14" s="461"/>
      <c r="C14" s="462"/>
      <c r="D14" s="462"/>
      <c r="E14" s="462"/>
      <c r="F14" s="462"/>
      <c r="G14" s="462"/>
      <c r="H14" s="462"/>
      <c r="I14" s="462"/>
      <c r="J14" s="462"/>
      <c r="K14" s="463">
        <v>43211500</v>
      </c>
      <c r="L14" s="464" t="s">
        <v>560</v>
      </c>
      <c r="M14" s="455">
        <v>44635</v>
      </c>
      <c r="N14" s="455" t="s">
        <v>500</v>
      </c>
      <c r="O14" s="456" t="s">
        <v>561</v>
      </c>
      <c r="P14" s="456" t="s">
        <v>638</v>
      </c>
      <c r="Q14" s="457">
        <v>38000000</v>
      </c>
      <c r="R14" s="458" t="s">
        <v>350</v>
      </c>
      <c r="S14" s="459"/>
      <c r="T14" s="460" t="s">
        <v>181</v>
      </c>
      <c r="U14" s="432">
        <v>21322</v>
      </c>
      <c r="V14" s="433">
        <v>44614</v>
      </c>
      <c r="W14" s="419">
        <v>38000000</v>
      </c>
      <c r="X14" s="419">
        <v>38000000</v>
      </c>
      <c r="Y14" s="689">
        <f t="shared" ref="Y14:Y16" si="18">+X14-AA14</f>
        <v>38000000</v>
      </c>
      <c r="Z14" s="689">
        <f t="shared" ref="Z14:Z16" si="19">+Q14-X14</f>
        <v>0</v>
      </c>
      <c r="AA14" s="419">
        <v>0</v>
      </c>
      <c r="AB14" s="419">
        <f>(Q14-X14)</f>
        <v>0</v>
      </c>
      <c r="AG14" s="661"/>
    </row>
    <row r="15" spans="2:33" ht="42" customHeight="1" outlineLevel="1" x14ac:dyDescent="0.2">
      <c r="B15" s="697"/>
      <c r="C15" s="698"/>
      <c r="D15" s="698"/>
      <c r="E15" s="698"/>
      <c r="F15" s="698"/>
      <c r="G15" s="698"/>
      <c r="H15" s="698"/>
      <c r="I15" s="698"/>
      <c r="J15" s="698"/>
      <c r="K15" s="463">
        <v>43201835</v>
      </c>
      <c r="L15" s="464" t="s">
        <v>716</v>
      </c>
      <c r="M15" s="455">
        <v>44788</v>
      </c>
      <c r="N15" s="455" t="s">
        <v>717</v>
      </c>
      <c r="O15" s="456" t="s">
        <v>294</v>
      </c>
      <c r="P15" s="456" t="s">
        <v>318</v>
      </c>
      <c r="Q15" s="457">
        <f>25440985+2713760.93</f>
        <v>28154745.93</v>
      </c>
      <c r="R15" s="458"/>
      <c r="S15" s="459"/>
      <c r="T15" s="460"/>
      <c r="U15" s="432"/>
      <c r="V15" s="433"/>
      <c r="W15" s="419"/>
      <c r="X15" s="419"/>
      <c r="Y15" s="689"/>
      <c r="Z15" s="689"/>
      <c r="AA15" s="419"/>
      <c r="AB15" s="419"/>
      <c r="AG15" s="661"/>
    </row>
    <row r="16" spans="2:33" ht="59.25" customHeight="1" outlineLevel="1" x14ac:dyDescent="0.2">
      <c r="B16" s="461"/>
      <c r="C16" s="462"/>
      <c r="D16" s="462"/>
      <c r="E16" s="462"/>
      <c r="F16" s="462"/>
      <c r="G16" s="462"/>
      <c r="H16" s="462"/>
      <c r="I16" s="462"/>
      <c r="J16" s="462"/>
      <c r="K16" s="463">
        <v>43211500</v>
      </c>
      <c r="L16" s="465" t="s">
        <v>562</v>
      </c>
      <c r="M16" s="455">
        <v>44635</v>
      </c>
      <c r="N16" s="455" t="s">
        <v>500</v>
      </c>
      <c r="O16" s="456" t="s">
        <v>561</v>
      </c>
      <c r="P16" s="456" t="s">
        <v>638</v>
      </c>
      <c r="Q16" s="457">
        <f>40000000-40000000</f>
        <v>0</v>
      </c>
      <c r="R16" s="458" t="s">
        <v>350</v>
      </c>
      <c r="S16" s="459"/>
      <c r="T16" s="460" t="s">
        <v>181</v>
      </c>
      <c r="U16" s="432">
        <v>27122</v>
      </c>
      <c r="V16" s="433">
        <v>44629</v>
      </c>
      <c r="W16" s="419">
        <v>40000000</v>
      </c>
      <c r="X16" s="419">
        <v>40000000</v>
      </c>
      <c r="Y16" s="689">
        <f t="shared" si="18"/>
        <v>40000000</v>
      </c>
      <c r="Z16" s="689">
        <f t="shared" si="19"/>
        <v>-40000000</v>
      </c>
      <c r="AA16" s="419">
        <v>0</v>
      </c>
      <c r="AB16" s="419">
        <f>(Q16-X16)</f>
        <v>-40000000</v>
      </c>
      <c r="AG16" s="661"/>
    </row>
    <row r="17" spans="2:67" ht="32.25" customHeight="1" outlineLevel="1" x14ac:dyDescent="0.2">
      <c r="B17" s="440" t="s">
        <v>7</v>
      </c>
      <c r="C17" s="441" t="s">
        <v>20</v>
      </c>
      <c r="D17" s="441" t="s">
        <v>8</v>
      </c>
      <c r="E17" s="441" t="s">
        <v>8</v>
      </c>
      <c r="F17" s="441" t="s">
        <v>12</v>
      </c>
      <c r="G17" s="441" t="s">
        <v>13</v>
      </c>
      <c r="H17" s="441"/>
      <c r="I17" s="441"/>
      <c r="J17" s="442"/>
      <c r="K17" s="440"/>
      <c r="L17" s="642" t="s">
        <v>42</v>
      </c>
      <c r="M17" s="443"/>
      <c r="N17" s="443"/>
      <c r="O17" s="444"/>
      <c r="P17" s="444"/>
      <c r="Q17" s="620">
        <f>SUM(Q18:Q18)</f>
        <v>43922900</v>
      </c>
      <c r="R17" s="620">
        <f t="shared" ref="R17:S18" si="20">SUM(R18:R18)</f>
        <v>0</v>
      </c>
      <c r="S17" s="620">
        <f t="shared" si="20"/>
        <v>0</v>
      </c>
      <c r="T17" s="445"/>
      <c r="U17" s="662"/>
      <c r="V17" s="665"/>
      <c r="W17" s="664">
        <f t="shared" ref="W17:AB18" si="21">SUM(W18:W18)</f>
        <v>60000000</v>
      </c>
      <c r="X17" s="664">
        <f t="shared" si="21"/>
        <v>43922900</v>
      </c>
      <c r="Y17" s="664">
        <f>SUM(Y18:Y18)</f>
        <v>0</v>
      </c>
      <c r="Z17" s="664">
        <f>SUM(Z18:Z18)</f>
        <v>0</v>
      </c>
      <c r="AA17" s="664">
        <f t="shared" si="21"/>
        <v>43922900</v>
      </c>
      <c r="AB17" s="664">
        <f t="shared" si="21"/>
        <v>0</v>
      </c>
      <c r="AG17" s="661"/>
      <c r="AX17" s="466"/>
      <c r="AY17" s="466"/>
      <c r="AZ17" s="466"/>
      <c r="BA17" s="466"/>
      <c r="BB17" s="466"/>
      <c r="BC17" s="466"/>
      <c r="BD17" s="466"/>
      <c r="BE17" s="466"/>
      <c r="BF17" s="466"/>
      <c r="BG17" s="466"/>
      <c r="BH17" s="466"/>
      <c r="BI17" s="466"/>
      <c r="BJ17" s="466"/>
      <c r="BK17" s="466"/>
      <c r="BL17" s="466"/>
      <c r="BM17" s="466"/>
      <c r="BN17" s="466"/>
      <c r="BO17" s="466"/>
    </row>
    <row r="18" spans="2:67" ht="33" customHeight="1" outlineLevel="1" x14ac:dyDescent="0.2">
      <c r="B18" s="446" t="s">
        <v>7</v>
      </c>
      <c r="C18" s="447" t="s">
        <v>20</v>
      </c>
      <c r="D18" s="447" t="s">
        <v>8</v>
      </c>
      <c r="E18" s="447" t="s">
        <v>8</v>
      </c>
      <c r="F18" s="447" t="s">
        <v>12</v>
      </c>
      <c r="G18" s="447" t="s">
        <v>13</v>
      </c>
      <c r="H18" s="447" t="s">
        <v>20</v>
      </c>
      <c r="I18" s="447"/>
      <c r="J18" s="449"/>
      <c r="K18" s="446"/>
      <c r="L18" s="643" t="s">
        <v>290</v>
      </c>
      <c r="M18" s="450"/>
      <c r="N18" s="450"/>
      <c r="O18" s="451"/>
      <c r="P18" s="451"/>
      <c r="Q18" s="621">
        <f>SUM(Q19:Q19)</f>
        <v>43922900</v>
      </c>
      <c r="R18" s="621">
        <f>SUM(R19:R19)</f>
        <v>0</v>
      </c>
      <c r="S18" s="621">
        <f t="shared" si="20"/>
        <v>0</v>
      </c>
      <c r="T18" s="467"/>
      <c r="U18" s="662"/>
      <c r="V18" s="665"/>
      <c r="W18" s="664">
        <f t="shared" si="21"/>
        <v>60000000</v>
      </c>
      <c r="X18" s="664">
        <f t="shared" si="21"/>
        <v>43922900</v>
      </c>
      <c r="Y18" s="664">
        <f>SUM(Y19:Y19)</f>
        <v>0</v>
      </c>
      <c r="Z18" s="664">
        <f>SUM(Z19:Z19)</f>
        <v>0</v>
      </c>
      <c r="AA18" s="664">
        <f t="shared" si="21"/>
        <v>43922900</v>
      </c>
      <c r="AB18" s="664">
        <f t="shared" si="21"/>
        <v>0</v>
      </c>
      <c r="AG18" s="661"/>
      <c r="AX18" s="466"/>
      <c r="AY18" s="466"/>
      <c r="AZ18" s="466"/>
      <c r="BA18" s="466"/>
      <c r="BB18" s="466"/>
      <c r="BC18" s="466"/>
      <c r="BD18" s="466"/>
      <c r="BE18" s="466"/>
      <c r="BF18" s="466"/>
      <c r="BG18" s="466"/>
      <c r="BH18" s="466"/>
      <c r="BI18" s="466"/>
      <c r="BJ18" s="466"/>
      <c r="BK18" s="466"/>
      <c r="BL18" s="466"/>
      <c r="BM18" s="466"/>
      <c r="BN18" s="466"/>
      <c r="BO18" s="466"/>
    </row>
    <row r="19" spans="2:67" ht="45" outlineLevel="1" x14ac:dyDescent="0.2">
      <c r="B19" s="758"/>
      <c r="C19" s="754"/>
      <c r="D19" s="754"/>
      <c r="E19" s="754"/>
      <c r="F19" s="754"/>
      <c r="G19" s="754"/>
      <c r="H19" s="754"/>
      <c r="I19" s="754"/>
      <c r="J19" s="755"/>
      <c r="K19" s="463">
        <v>43211500</v>
      </c>
      <c r="L19" s="454" t="s">
        <v>636</v>
      </c>
      <c r="M19" s="455">
        <v>44635</v>
      </c>
      <c r="N19" s="455" t="s">
        <v>637</v>
      </c>
      <c r="O19" s="456" t="s">
        <v>294</v>
      </c>
      <c r="P19" s="456" t="s">
        <v>639</v>
      </c>
      <c r="Q19" s="468">
        <f>60000000-16077100</f>
        <v>43922900</v>
      </c>
      <c r="R19" s="458" t="s">
        <v>386</v>
      </c>
      <c r="S19" s="459"/>
      <c r="T19" s="460" t="s">
        <v>181</v>
      </c>
      <c r="U19" s="432">
        <v>27422</v>
      </c>
      <c r="V19" s="433">
        <v>44629</v>
      </c>
      <c r="W19" s="419">
        <v>60000000</v>
      </c>
      <c r="X19" s="419">
        <v>43922900</v>
      </c>
      <c r="Y19" s="689">
        <f>+X19-AA19</f>
        <v>0</v>
      </c>
      <c r="Z19" s="689">
        <f>+Q19-X19</f>
        <v>0</v>
      </c>
      <c r="AA19" s="419">
        <v>43922900</v>
      </c>
      <c r="AB19" s="419">
        <f>(Q19-X19)</f>
        <v>0</v>
      </c>
      <c r="AG19" s="661"/>
      <c r="AX19" s="466"/>
      <c r="AY19" s="466"/>
      <c r="AZ19" s="466"/>
      <c r="BA19" s="466"/>
      <c r="BB19" s="466"/>
      <c r="BC19" s="466"/>
      <c r="BD19" s="466"/>
      <c r="BE19" s="466"/>
      <c r="BF19" s="466"/>
      <c r="BG19" s="466"/>
      <c r="BH19" s="466"/>
      <c r="BI19" s="466"/>
      <c r="BJ19" s="466"/>
      <c r="BK19" s="466"/>
      <c r="BL19" s="466"/>
      <c r="BM19" s="466"/>
      <c r="BN19" s="466"/>
      <c r="BO19" s="466"/>
    </row>
    <row r="20" spans="2:67" ht="30" outlineLevel="1" x14ac:dyDescent="0.2">
      <c r="B20" s="440" t="s">
        <v>7</v>
      </c>
      <c r="C20" s="469" t="s">
        <v>20</v>
      </c>
      <c r="D20" s="469" t="s">
        <v>8</v>
      </c>
      <c r="E20" s="469" t="s">
        <v>8</v>
      </c>
      <c r="F20" s="469" t="s">
        <v>12</v>
      </c>
      <c r="G20" s="469" t="s">
        <v>16</v>
      </c>
      <c r="H20" s="441"/>
      <c r="I20" s="441"/>
      <c r="J20" s="442"/>
      <c r="K20" s="440"/>
      <c r="L20" s="642" t="s">
        <v>143</v>
      </c>
      <c r="M20" s="443"/>
      <c r="N20" s="443"/>
      <c r="O20" s="444"/>
      <c r="P20" s="444"/>
      <c r="Q20" s="620">
        <f>+Q21</f>
        <v>7000000</v>
      </c>
      <c r="R20" s="620">
        <f t="shared" ref="R20:S20" si="22">+R21</f>
        <v>0</v>
      </c>
      <c r="S20" s="620">
        <f t="shared" si="22"/>
        <v>0</v>
      </c>
      <c r="T20" s="445"/>
      <c r="U20" s="662"/>
      <c r="V20" s="665"/>
      <c r="W20" s="664">
        <f t="shared" ref="W20:AB20" si="23">+W21</f>
        <v>7000000</v>
      </c>
      <c r="X20" s="664">
        <f t="shared" si="23"/>
        <v>2975000</v>
      </c>
      <c r="Y20" s="664">
        <f>+Y21</f>
        <v>0</v>
      </c>
      <c r="Z20" s="664">
        <f>+Z21</f>
        <v>4025000</v>
      </c>
      <c r="AA20" s="664">
        <f t="shared" si="23"/>
        <v>2975000</v>
      </c>
      <c r="AB20" s="664">
        <f t="shared" si="23"/>
        <v>4025000</v>
      </c>
      <c r="AG20" s="661"/>
      <c r="AX20" s="466"/>
      <c r="AY20" s="466"/>
      <c r="AZ20" s="466"/>
      <c r="BA20" s="466"/>
      <c r="BB20" s="466"/>
      <c r="BC20" s="466"/>
      <c r="BD20" s="466"/>
      <c r="BE20" s="466"/>
      <c r="BF20" s="466"/>
      <c r="BG20" s="466"/>
      <c r="BH20" s="466"/>
      <c r="BI20" s="466"/>
      <c r="BJ20" s="466"/>
      <c r="BK20" s="466"/>
      <c r="BL20" s="466"/>
      <c r="BM20" s="466"/>
      <c r="BN20" s="466"/>
      <c r="BO20" s="466"/>
    </row>
    <row r="21" spans="2:67" s="466" customFormat="1" ht="60" outlineLevel="1" x14ac:dyDescent="0.2">
      <c r="B21" s="446" t="s">
        <v>7</v>
      </c>
      <c r="C21" s="447" t="s">
        <v>20</v>
      </c>
      <c r="D21" s="447" t="s">
        <v>8</v>
      </c>
      <c r="E21" s="447" t="s">
        <v>8</v>
      </c>
      <c r="F21" s="447" t="s">
        <v>12</v>
      </c>
      <c r="G21" s="470" t="s">
        <v>16</v>
      </c>
      <c r="H21" s="447" t="s">
        <v>20</v>
      </c>
      <c r="I21" s="447"/>
      <c r="J21" s="449"/>
      <c r="K21" s="446"/>
      <c r="L21" s="643" t="s">
        <v>141</v>
      </c>
      <c r="M21" s="450"/>
      <c r="N21" s="450"/>
      <c r="O21" s="451"/>
      <c r="P21" s="451"/>
      <c r="Q21" s="621">
        <f>SUM(Q22:Q22)</f>
        <v>7000000</v>
      </c>
      <c r="R21" s="621">
        <f t="shared" ref="R21:S21" si="24">SUM(R22:R22)</f>
        <v>0</v>
      </c>
      <c r="S21" s="621">
        <f t="shared" si="24"/>
        <v>0</v>
      </c>
      <c r="T21" s="452"/>
      <c r="U21" s="662"/>
      <c r="V21" s="665"/>
      <c r="W21" s="664">
        <f t="shared" ref="W21:AB21" si="25">SUM(W22:W22)</f>
        <v>7000000</v>
      </c>
      <c r="X21" s="664">
        <f t="shared" si="25"/>
        <v>2975000</v>
      </c>
      <c r="Y21" s="664">
        <f>SUM(Y22:Y22)</f>
        <v>0</v>
      </c>
      <c r="Z21" s="664">
        <f>SUM(Z22:Z22)</f>
        <v>4025000</v>
      </c>
      <c r="AA21" s="664">
        <f t="shared" si="25"/>
        <v>2975000</v>
      </c>
      <c r="AB21" s="664">
        <f t="shared" si="25"/>
        <v>4025000</v>
      </c>
      <c r="AC21" s="393"/>
      <c r="AD21" s="393"/>
      <c r="AE21" s="393"/>
      <c r="AF21" s="393"/>
      <c r="AG21" s="661"/>
      <c r="AH21" s="393"/>
      <c r="AI21" s="393"/>
      <c r="AJ21" s="393"/>
      <c r="AK21" s="393"/>
      <c r="AL21" s="393"/>
      <c r="AM21" s="393"/>
      <c r="AN21" s="393"/>
      <c r="AO21" s="393"/>
      <c r="AP21" s="393"/>
      <c r="AQ21" s="393"/>
      <c r="AR21" s="393"/>
      <c r="AS21" s="393"/>
      <c r="AT21" s="393"/>
      <c r="AU21" s="393"/>
      <c r="AV21" s="393"/>
      <c r="AW21" s="393"/>
    </row>
    <row r="22" spans="2:67" ht="45" outlineLevel="1" x14ac:dyDescent="0.2">
      <c r="B22" s="461"/>
      <c r="C22" s="462"/>
      <c r="D22" s="462"/>
      <c r="E22" s="462"/>
      <c r="F22" s="462"/>
      <c r="G22" s="462"/>
      <c r="H22" s="462"/>
      <c r="I22" s="462"/>
      <c r="J22" s="462"/>
      <c r="K22" s="453" t="s">
        <v>611</v>
      </c>
      <c r="L22" s="454" t="s">
        <v>612</v>
      </c>
      <c r="M22" s="455">
        <v>44669</v>
      </c>
      <c r="N22" s="455" t="s">
        <v>617</v>
      </c>
      <c r="O22" s="456" t="s">
        <v>331</v>
      </c>
      <c r="P22" s="456" t="s">
        <v>502</v>
      </c>
      <c r="Q22" s="468">
        <v>7000000</v>
      </c>
      <c r="R22" s="458"/>
      <c r="S22" s="459"/>
      <c r="T22" s="460" t="s">
        <v>473</v>
      </c>
      <c r="U22" s="432">
        <v>29522</v>
      </c>
      <c r="V22" s="433">
        <v>44638</v>
      </c>
      <c r="W22" s="419">
        <v>7000000</v>
      </c>
      <c r="X22" s="419">
        <v>2975000</v>
      </c>
      <c r="Y22" s="689">
        <f>+X22-AA22</f>
        <v>0</v>
      </c>
      <c r="Z22" s="689">
        <f>+Q22-X22</f>
        <v>4025000</v>
      </c>
      <c r="AA22" s="419">
        <v>2975000</v>
      </c>
      <c r="AB22" s="419">
        <f>(Q22-X22)</f>
        <v>4025000</v>
      </c>
      <c r="AC22" s="659"/>
      <c r="AG22" s="661"/>
    </row>
    <row r="23" spans="2:67" ht="15" customHeight="1" outlineLevel="1" x14ac:dyDescent="0.2">
      <c r="B23" s="434" t="s">
        <v>7</v>
      </c>
      <c r="C23" s="435" t="s">
        <v>20</v>
      </c>
      <c r="D23" s="435" t="s">
        <v>8</v>
      </c>
      <c r="E23" s="435" t="s">
        <v>8</v>
      </c>
      <c r="F23" s="435" t="s">
        <v>14</v>
      </c>
      <c r="G23" s="435"/>
      <c r="H23" s="435"/>
      <c r="I23" s="435"/>
      <c r="J23" s="436"/>
      <c r="K23" s="434"/>
      <c r="L23" s="641" t="s">
        <v>44</v>
      </c>
      <c r="M23" s="437"/>
      <c r="N23" s="437"/>
      <c r="O23" s="438"/>
      <c r="P23" s="438"/>
      <c r="Q23" s="619">
        <f>+Q24</f>
        <v>140000000</v>
      </c>
      <c r="R23" s="619">
        <f t="shared" ref="R23:S26" si="26">+R24</f>
        <v>0</v>
      </c>
      <c r="S23" s="619">
        <f t="shared" si="26"/>
        <v>0</v>
      </c>
      <c r="T23" s="439"/>
      <c r="U23" s="662"/>
      <c r="V23" s="665"/>
      <c r="W23" s="664">
        <f t="shared" ref="W23:AB26" si="27">+W24</f>
        <v>140000000</v>
      </c>
      <c r="X23" s="664">
        <f t="shared" si="27"/>
        <v>140000000</v>
      </c>
      <c r="Y23" s="664">
        <f t="shared" ref="Y23:Z26" si="28">+Y24</f>
        <v>140000000</v>
      </c>
      <c r="Z23" s="664">
        <f t="shared" si="28"/>
        <v>0</v>
      </c>
      <c r="AA23" s="664">
        <f t="shared" si="27"/>
        <v>0</v>
      </c>
      <c r="AB23" s="664">
        <f t="shared" si="27"/>
        <v>0</v>
      </c>
      <c r="AG23" s="661"/>
    </row>
    <row r="24" spans="2:67" ht="15" customHeight="1" outlineLevel="1" x14ac:dyDescent="0.2">
      <c r="B24" s="440" t="s">
        <v>7</v>
      </c>
      <c r="C24" s="441" t="s">
        <v>20</v>
      </c>
      <c r="D24" s="441" t="s">
        <v>8</v>
      </c>
      <c r="E24" s="441" t="s">
        <v>8</v>
      </c>
      <c r="F24" s="441" t="s">
        <v>14</v>
      </c>
      <c r="G24" s="441" t="s">
        <v>10</v>
      </c>
      <c r="H24" s="441"/>
      <c r="I24" s="441"/>
      <c r="J24" s="442"/>
      <c r="K24" s="440"/>
      <c r="L24" s="642" t="s">
        <v>45</v>
      </c>
      <c r="M24" s="443"/>
      <c r="N24" s="443"/>
      <c r="O24" s="444"/>
      <c r="P24" s="444"/>
      <c r="Q24" s="620">
        <f>+Q25</f>
        <v>140000000</v>
      </c>
      <c r="R24" s="620">
        <f t="shared" si="26"/>
        <v>0</v>
      </c>
      <c r="S24" s="620">
        <f t="shared" si="26"/>
        <v>0</v>
      </c>
      <c r="T24" s="445"/>
      <c r="U24" s="662"/>
      <c r="V24" s="665"/>
      <c r="W24" s="664">
        <f t="shared" si="27"/>
        <v>140000000</v>
      </c>
      <c r="X24" s="664">
        <f t="shared" si="27"/>
        <v>140000000</v>
      </c>
      <c r="Y24" s="664">
        <f t="shared" si="28"/>
        <v>140000000</v>
      </c>
      <c r="Z24" s="664">
        <f t="shared" si="28"/>
        <v>0</v>
      </c>
      <c r="AA24" s="664">
        <f t="shared" si="27"/>
        <v>0</v>
      </c>
      <c r="AB24" s="664">
        <f t="shared" si="27"/>
        <v>0</v>
      </c>
      <c r="AG24" s="661"/>
    </row>
    <row r="25" spans="2:67" ht="15" customHeight="1" outlineLevel="1" x14ac:dyDescent="0.2">
      <c r="B25" s="446" t="s">
        <v>7</v>
      </c>
      <c r="C25" s="447" t="s">
        <v>20</v>
      </c>
      <c r="D25" s="447" t="s">
        <v>8</v>
      </c>
      <c r="E25" s="447" t="s">
        <v>8</v>
      </c>
      <c r="F25" s="447" t="s">
        <v>14</v>
      </c>
      <c r="G25" s="447" t="s">
        <v>10</v>
      </c>
      <c r="H25" s="447" t="s">
        <v>23</v>
      </c>
      <c r="I25" s="447"/>
      <c r="J25" s="449"/>
      <c r="K25" s="446"/>
      <c r="L25" s="643" t="s">
        <v>46</v>
      </c>
      <c r="M25" s="450"/>
      <c r="N25" s="450"/>
      <c r="O25" s="451"/>
      <c r="P25" s="451"/>
      <c r="Q25" s="621">
        <f>+Q26</f>
        <v>140000000</v>
      </c>
      <c r="R25" s="621">
        <f t="shared" si="26"/>
        <v>0</v>
      </c>
      <c r="S25" s="621">
        <f t="shared" si="26"/>
        <v>0</v>
      </c>
      <c r="T25" s="467"/>
      <c r="U25" s="662"/>
      <c r="V25" s="665"/>
      <c r="W25" s="664">
        <f t="shared" si="27"/>
        <v>140000000</v>
      </c>
      <c r="X25" s="664">
        <f t="shared" si="27"/>
        <v>140000000</v>
      </c>
      <c r="Y25" s="664">
        <f t="shared" si="28"/>
        <v>140000000</v>
      </c>
      <c r="Z25" s="664">
        <f t="shared" si="28"/>
        <v>0</v>
      </c>
      <c r="AA25" s="664">
        <f t="shared" si="27"/>
        <v>0</v>
      </c>
      <c r="AB25" s="664">
        <f t="shared" si="27"/>
        <v>0</v>
      </c>
      <c r="AG25" s="661"/>
    </row>
    <row r="26" spans="2:67" ht="15" customHeight="1" outlineLevel="1" x14ac:dyDescent="0.2">
      <c r="B26" s="446" t="s">
        <v>7</v>
      </c>
      <c r="C26" s="447" t="s">
        <v>20</v>
      </c>
      <c r="D26" s="447" t="s">
        <v>8</v>
      </c>
      <c r="E26" s="447" t="s">
        <v>8</v>
      </c>
      <c r="F26" s="447" t="s">
        <v>14</v>
      </c>
      <c r="G26" s="447" t="s">
        <v>10</v>
      </c>
      <c r="H26" s="447" t="s">
        <v>23</v>
      </c>
      <c r="I26" s="447" t="s">
        <v>21</v>
      </c>
      <c r="J26" s="449"/>
      <c r="K26" s="446"/>
      <c r="L26" s="643" t="s">
        <v>47</v>
      </c>
      <c r="M26" s="450"/>
      <c r="N26" s="450"/>
      <c r="O26" s="451"/>
      <c r="P26" s="451"/>
      <c r="Q26" s="621">
        <f>+Q27</f>
        <v>140000000</v>
      </c>
      <c r="R26" s="621">
        <f t="shared" si="26"/>
        <v>0</v>
      </c>
      <c r="S26" s="621">
        <f t="shared" si="26"/>
        <v>0</v>
      </c>
      <c r="T26" s="467"/>
      <c r="U26" s="662"/>
      <c r="V26" s="665"/>
      <c r="W26" s="664">
        <f t="shared" si="27"/>
        <v>140000000</v>
      </c>
      <c r="X26" s="664">
        <f t="shared" si="27"/>
        <v>140000000</v>
      </c>
      <c r="Y26" s="664">
        <f t="shared" si="28"/>
        <v>140000000</v>
      </c>
      <c r="Z26" s="664">
        <f t="shared" si="28"/>
        <v>0</v>
      </c>
      <c r="AA26" s="664">
        <f t="shared" si="27"/>
        <v>0</v>
      </c>
      <c r="AB26" s="664">
        <f t="shared" si="27"/>
        <v>0</v>
      </c>
      <c r="AG26" s="661"/>
    </row>
    <row r="27" spans="2:67" ht="15" customHeight="1" outlineLevel="1" x14ac:dyDescent="0.2">
      <c r="B27" s="446" t="s">
        <v>7</v>
      </c>
      <c r="C27" s="447" t="s">
        <v>20</v>
      </c>
      <c r="D27" s="447" t="s">
        <v>8</v>
      </c>
      <c r="E27" s="447" t="s">
        <v>8</v>
      </c>
      <c r="F27" s="447" t="s">
        <v>14</v>
      </c>
      <c r="G27" s="447" t="s">
        <v>10</v>
      </c>
      <c r="H27" s="447" t="s">
        <v>23</v>
      </c>
      <c r="I27" s="447" t="s">
        <v>21</v>
      </c>
      <c r="J27" s="449" t="s">
        <v>8</v>
      </c>
      <c r="K27" s="446"/>
      <c r="L27" s="643" t="s">
        <v>48</v>
      </c>
      <c r="M27" s="450"/>
      <c r="N27" s="450"/>
      <c r="O27" s="451"/>
      <c r="P27" s="451"/>
      <c r="Q27" s="621">
        <f>SUM(Q28:Q28)</f>
        <v>140000000</v>
      </c>
      <c r="R27" s="621">
        <f t="shared" ref="R27:S27" si="29">SUM(R28:R28)</f>
        <v>0</v>
      </c>
      <c r="S27" s="621">
        <f t="shared" si="29"/>
        <v>0</v>
      </c>
      <c r="T27" s="467"/>
      <c r="U27" s="662"/>
      <c r="V27" s="665"/>
      <c r="W27" s="664">
        <f t="shared" ref="W27:AB27" si="30">SUM(W28:W28)</f>
        <v>140000000</v>
      </c>
      <c r="X27" s="664">
        <f t="shared" si="30"/>
        <v>140000000</v>
      </c>
      <c r="Y27" s="664">
        <f>SUM(Y28:Y28)</f>
        <v>140000000</v>
      </c>
      <c r="Z27" s="664">
        <f>SUM(Z28:Z28)</f>
        <v>0</v>
      </c>
      <c r="AA27" s="664">
        <f t="shared" si="30"/>
        <v>0</v>
      </c>
      <c r="AB27" s="664">
        <f t="shared" si="30"/>
        <v>0</v>
      </c>
      <c r="AG27" s="661"/>
    </row>
    <row r="28" spans="2:67" ht="60" outlineLevel="1" x14ac:dyDescent="0.2">
      <c r="B28" s="758"/>
      <c r="C28" s="754"/>
      <c r="D28" s="754"/>
      <c r="E28" s="754"/>
      <c r="F28" s="754"/>
      <c r="G28" s="754"/>
      <c r="H28" s="754"/>
      <c r="I28" s="754"/>
      <c r="J28" s="755"/>
      <c r="K28" s="463">
        <v>43231500</v>
      </c>
      <c r="L28" s="454" t="s">
        <v>592</v>
      </c>
      <c r="M28" s="455">
        <v>44591</v>
      </c>
      <c r="N28" s="455" t="s">
        <v>469</v>
      </c>
      <c r="O28" s="456" t="s">
        <v>381</v>
      </c>
      <c r="P28" s="456" t="s">
        <v>638</v>
      </c>
      <c r="Q28" s="468">
        <v>140000000</v>
      </c>
      <c r="R28" s="458" t="s">
        <v>350</v>
      </c>
      <c r="S28" s="459"/>
      <c r="T28" s="460" t="s">
        <v>513</v>
      </c>
      <c r="U28" s="432">
        <v>26722</v>
      </c>
      <c r="V28" s="433">
        <v>44628</v>
      </c>
      <c r="W28" s="419">
        <v>140000000</v>
      </c>
      <c r="X28" s="419">
        <v>140000000</v>
      </c>
      <c r="Y28" s="689">
        <f>+X28-AA28</f>
        <v>140000000</v>
      </c>
      <c r="Z28" s="689">
        <f>+Q28-X28</f>
        <v>0</v>
      </c>
      <c r="AA28" s="419"/>
      <c r="AB28" s="419">
        <f>(Q28-X28)</f>
        <v>0</v>
      </c>
      <c r="AG28" s="661"/>
    </row>
    <row r="29" spans="2:67" s="401" customFormat="1" ht="15.75" customHeight="1" outlineLevel="1" x14ac:dyDescent="0.25">
      <c r="B29" s="420" t="s">
        <v>7</v>
      </c>
      <c r="C29" s="421" t="s">
        <v>20</v>
      </c>
      <c r="D29" s="421" t="s">
        <v>20</v>
      </c>
      <c r="E29" s="421"/>
      <c r="F29" s="421"/>
      <c r="G29" s="421"/>
      <c r="H29" s="421"/>
      <c r="I29" s="421"/>
      <c r="J29" s="422"/>
      <c r="K29" s="420"/>
      <c r="L29" s="639" t="s">
        <v>49</v>
      </c>
      <c r="M29" s="423"/>
      <c r="N29" s="423"/>
      <c r="O29" s="424"/>
      <c r="P29" s="424"/>
      <c r="Q29" s="617">
        <f>+Q30+Q94</f>
        <v>4834922354.0699997</v>
      </c>
      <c r="R29" s="617">
        <f t="shared" ref="R29:S29" si="31">+R30+R94</f>
        <v>0</v>
      </c>
      <c r="S29" s="617">
        <f t="shared" si="31"/>
        <v>541654943</v>
      </c>
      <c r="T29" s="425"/>
      <c r="U29" s="666"/>
      <c r="V29" s="663"/>
      <c r="W29" s="683">
        <f t="shared" ref="W29:AB29" si="32">+W30+W94</f>
        <v>26696916221</v>
      </c>
      <c r="X29" s="683">
        <f t="shared" si="32"/>
        <v>1963460761.0699999</v>
      </c>
      <c r="Y29" s="683">
        <f>+Y30+Y94</f>
        <v>494000515.86000001</v>
      </c>
      <c r="Z29" s="683">
        <f>+Z30+Z94</f>
        <v>2866628953</v>
      </c>
      <c r="AA29" s="683">
        <f t="shared" si="32"/>
        <v>1469460245.21</v>
      </c>
      <c r="AB29" s="683">
        <f t="shared" si="32"/>
        <v>2866628953</v>
      </c>
      <c r="AC29" s="687"/>
      <c r="AG29" s="661"/>
    </row>
    <row r="30" spans="2:67" ht="15" customHeight="1" outlineLevel="1" x14ac:dyDescent="0.2">
      <c r="B30" s="426" t="s">
        <v>7</v>
      </c>
      <c r="C30" s="427" t="s">
        <v>20</v>
      </c>
      <c r="D30" s="427" t="s">
        <v>20</v>
      </c>
      <c r="E30" s="427" t="s">
        <v>8</v>
      </c>
      <c r="F30" s="427"/>
      <c r="G30" s="427"/>
      <c r="H30" s="427"/>
      <c r="I30" s="427"/>
      <c r="J30" s="428"/>
      <c r="K30" s="426"/>
      <c r="L30" s="640" t="s">
        <v>50</v>
      </c>
      <c r="M30" s="429"/>
      <c r="N30" s="429"/>
      <c r="O30" s="430"/>
      <c r="P30" s="430"/>
      <c r="Q30" s="618">
        <f>+Q31+Q35+Q47+Q73</f>
        <v>993716939.06999993</v>
      </c>
      <c r="R30" s="618">
        <f t="shared" ref="R30:S30" si="33">+R31+R35+R47+R73</f>
        <v>0</v>
      </c>
      <c r="S30" s="618">
        <f t="shared" si="33"/>
        <v>0</v>
      </c>
      <c r="T30" s="471"/>
      <c r="U30" s="662"/>
      <c r="V30" s="665"/>
      <c r="W30" s="684">
        <f t="shared" ref="W30:AB30" si="34">+W31+W35+W47+W73</f>
        <v>706582439</v>
      </c>
      <c r="X30" s="684">
        <f t="shared" si="34"/>
        <v>898763778.06999993</v>
      </c>
      <c r="Y30" s="684">
        <f>+Y31+Y35+Y47+Y73</f>
        <v>328567855.86000001</v>
      </c>
      <c r="Z30" s="684">
        <f>+Z31+Z35+Z47+Z73</f>
        <v>94953161</v>
      </c>
      <c r="AA30" s="684">
        <f t="shared" si="34"/>
        <v>570195922.21000004</v>
      </c>
      <c r="AB30" s="684">
        <f t="shared" si="34"/>
        <v>94953161</v>
      </c>
      <c r="AC30" s="674"/>
      <c r="AG30" s="661"/>
    </row>
    <row r="31" spans="2:67" ht="15" customHeight="1" outlineLevel="1" x14ac:dyDescent="0.2">
      <c r="B31" s="434" t="s">
        <v>7</v>
      </c>
      <c r="C31" s="435" t="s">
        <v>20</v>
      </c>
      <c r="D31" s="435" t="s">
        <v>20</v>
      </c>
      <c r="E31" s="435" t="s">
        <v>8</v>
      </c>
      <c r="F31" s="435" t="s">
        <v>155</v>
      </c>
      <c r="G31" s="435"/>
      <c r="H31" s="435"/>
      <c r="I31" s="435"/>
      <c r="J31" s="436"/>
      <c r="K31" s="434"/>
      <c r="L31" s="641" t="s">
        <v>156</v>
      </c>
      <c r="M31" s="437"/>
      <c r="N31" s="437"/>
      <c r="O31" s="438"/>
      <c r="P31" s="438"/>
      <c r="Q31" s="619">
        <f>+Q32</f>
        <v>7833000</v>
      </c>
      <c r="R31" s="619">
        <f t="shared" ref="R31:S32" si="35">+R32</f>
        <v>0</v>
      </c>
      <c r="S31" s="619">
        <f t="shared" si="35"/>
        <v>0</v>
      </c>
      <c r="T31" s="439"/>
      <c r="U31" s="662"/>
      <c r="V31" s="665"/>
      <c r="W31" s="684">
        <f t="shared" ref="W31:AB32" si="36">+W32</f>
        <v>7833000</v>
      </c>
      <c r="X31" s="684">
        <f t="shared" si="36"/>
        <v>7833000</v>
      </c>
      <c r="Y31" s="684">
        <f>+Y32</f>
        <v>0</v>
      </c>
      <c r="Z31" s="684">
        <f>+Z32</f>
        <v>0</v>
      </c>
      <c r="AA31" s="684">
        <f t="shared" si="36"/>
        <v>7833000</v>
      </c>
      <c r="AB31" s="684">
        <f t="shared" si="36"/>
        <v>0</v>
      </c>
      <c r="AG31" s="661"/>
    </row>
    <row r="32" spans="2:67" ht="15" customHeight="1" outlineLevel="1" x14ac:dyDescent="0.2">
      <c r="B32" s="440" t="s">
        <v>7</v>
      </c>
      <c r="C32" s="441" t="s">
        <v>20</v>
      </c>
      <c r="D32" s="441" t="s">
        <v>20</v>
      </c>
      <c r="E32" s="441" t="s">
        <v>8</v>
      </c>
      <c r="F32" s="441" t="s">
        <v>155</v>
      </c>
      <c r="G32" s="441" t="s">
        <v>9</v>
      </c>
      <c r="H32" s="441"/>
      <c r="I32" s="441"/>
      <c r="J32" s="442"/>
      <c r="K32" s="440"/>
      <c r="L32" s="642" t="s">
        <v>157</v>
      </c>
      <c r="M32" s="443"/>
      <c r="N32" s="443"/>
      <c r="O32" s="444"/>
      <c r="P32" s="444"/>
      <c r="Q32" s="620">
        <f>+Q33</f>
        <v>7833000</v>
      </c>
      <c r="R32" s="620">
        <f t="shared" si="35"/>
        <v>0</v>
      </c>
      <c r="S32" s="620">
        <f t="shared" si="35"/>
        <v>0</v>
      </c>
      <c r="T32" s="445"/>
      <c r="U32" s="662"/>
      <c r="V32" s="665"/>
      <c r="W32" s="684">
        <f t="shared" si="36"/>
        <v>7833000</v>
      </c>
      <c r="X32" s="684">
        <f t="shared" si="36"/>
        <v>7833000</v>
      </c>
      <c r="Y32" s="684">
        <f>+Y33</f>
        <v>0</v>
      </c>
      <c r="Z32" s="684">
        <f>+Z33</f>
        <v>0</v>
      </c>
      <c r="AA32" s="684">
        <f t="shared" si="36"/>
        <v>7833000</v>
      </c>
      <c r="AB32" s="684">
        <f t="shared" si="36"/>
        <v>0</v>
      </c>
      <c r="AG32" s="661"/>
    </row>
    <row r="33" spans="2:33" ht="15" customHeight="1" outlineLevel="1" x14ac:dyDescent="0.2">
      <c r="B33" s="472" t="s">
        <v>7</v>
      </c>
      <c r="C33" s="473" t="s">
        <v>20</v>
      </c>
      <c r="D33" s="473" t="s">
        <v>20</v>
      </c>
      <c r="E33" s="473" t="s">
        <v>8</v>
      </c>
      <c r="F33" s="473" t="s">
        <v>155</v>
      </c>
      <c r="G33" s="473" t="s">
        <v>9</v>
      </c>
      <c r="H33" s="473" t="s">
        <v>28</v>
      </c>
      <c r="I33" s="473"/>
      <c r="J33" s="474"/>
      <c r="K33" s="472"/>
      <c r="L33" s="644" t="s">
        <v>184</v>
      </c>
      <c r="M33" s="475"/>
      <c r="N33" s="475"/>
      <c r="O33" s="476"/>
      <c r="P33" s="476"/>
      <c r="Q33" s="622">
        <f>SUM(Q34:Q34)</f>
        <v>7833000</v>
      </c>
      <c r="R33" s="622">
        <f t="shared" ref="R33:S33" si="37">SUM(R34:R34)</f>
        <v>0</v>
      </c>
      <c r="S33" s="622">
        <f t="shared" si="37"/>
        <v>0</v>
      </c>
      <c r="T33" s="477"/>
      <c r="U33" s="662"/>
      <c r="V33" s="665"/>
      <c r="W33" s="684">
        <f t="shared" ref="W33:AB33" si="38">SUM(W34:W34)</f>
        <v>7833000</v>
      </c>
      <c r="X33" s="684">
        <f t="shared" si="38"/>
        <v>7833000</v>
      </c>
      <c r="Y33" s="684">
        <f>SUM(Y34:Y34)</f>
        <v>0</v>
      </c>
      <c r="Z33" s="684">
        <f>SUM(Z34:Z34)</f>
        <v>0</v>
      </c>
      <c r="AA33" s="684">
        <f t="shared" si="38"/>
        <v>7833000</v>
      </c>
      <c r="AB33" s="684">
        <f t="shared" si="38"/>
        <v>0</v>
      </c>
      <c r="AG33" s="661"/>
    </row>
    <row r="34" spans="2:33" ht="30" outlineLevel="1" x14ac:dyDescent="0.2">
      <c r="B34" s="758"/>
      <c r="C34" s="754"/>
      <c r="D34" s="754"/>
      <c r="E34" s="754"/>
      <c r="F34" s="754"/>
      <c r="G34" s="754"/>
      <c r="H34" s="754"/>
      <c r="I34" s="754"/>
      <c r="J34" s="754"/>
      <c r="K34" s="453">
        <v>50201700</v>
      </c>
      <c r="L34" s="454" t="s">
        <v>514</v>
      </c>
      <c r="M34" s="455">
        <v>44607</v>
      </c>
      <c r="N34" s="455" t="s">
        <v>466</v>
      </c>
      <c r="O34" s="456" t="s">
        <v>515</v>
      </c>
      <c r="P34" s="456" t="s">
        <v>336</v>
      </c>
      <c r="Q34" s="468">
        <f>6650000+1183000</f>
        <v>7833000</v>
      </c>
      <c r="R34" s="458" t="s">
        <v>350</v>
      </c>
      <c r="S34" s="459"/>
      <c r="T34" s="460" t="s">
        <v>513</v>
      </c>
      <c r="U34" s="432">
        <v>27722</v>
      </c>
      <c r="V34" s="433">
        <v>44631</v>
      </c>
      <c r="W34" s="419">
        <v>7833000</v>
      </c>
      <c r="X34" s="419">
        <v>7833000</v>
      </c>
      <c r="Y34" s="689">
        <f>+X34-AA34</f>
        <v>0</v>
      </c>
      <c r="Z34" s="689">
        <f>+Q34-X34</f>
        <v>0</v>
      </c>
      <c r="AA34" s="419">
        <v>7833000</v>
      </c>
      <c r="AB34" s="419">
        <f>(Q34-X34)</f>
        <v>0</v>
      </c>
      <c r="AG34" s="661"/>
    </row>
    <row r="35" spans="2:33" ht="30" customHeight="1" outlineLevel="1" x14ac:dyDescent="0.2">
      <c r="B35" s="434" t="s">
        <v>7</v>
      </c>
      <c r="C35" s="435" t="s">
        <v>20</v>
      </c>
      <c r="D35" s="435" t="s">
        <v>20</v>
      </c>
      <c r="E35" s="435" t="s">
        <v>8</v>
      </c>
      <c r="F35" s="435" t="s">
        <v>10</v>
      </c>
      <c r="G35" s="435"/>
      <c r="H35" s="435"/>
      <c r="I35" s="435"/>
      <c r="J35" s="436"/>
      <c r="K35" s="434"/>
      <c r="L35" s="641" t="s">
        <v>51</v>
      </c>
      <c r="M35" s="437"/>
      <c r="N35" s="437"/>
      <c r="O35" s="438"/>
      <c r="P35" s="438"/>
      <c r="Q35" s="619">
        <f>+Q36+Q44+Q41</f>
        <v>263161000</v>
      </c>
      <c r="R35" s="619">
        <f t="shared" ref="R35:S35" si="39">+R36+R44+R41</f>
        <v>0</v>
      </c>
      <c r="S35" s="619">
        <f t="shared" si="39"/>
        <v>0</v>
      </c>
      <c r="T35" s="439"/>
      <c r="U35" s="662"/>
      <c r="V35" s="665"/>
      <c r="W35" s="684">
        <f t="shared" ref="W35:AB35" si="40">+W36+W44+W41</f>
        <v>252961000</v>
      </c>
      <c r="X35" s="684">
        <f t="shared" si="40"/>
        <v>263161000</v>
      </c>
      <c r="Y35" s="684">
        <f>+Y36+Y44+Y41</f>
        <v>201368005.86000001</v>
      </c>
      <c r="Z35" s="684">
        <f>+Z36+Z44+Z41</f>
        <v>0</v>
      </c>
      <c r="AA35" s="684">
        <f t="shared" si="40"/>
        <v>61792994.140000001</v>
      </c>
      <c r="AB35" s="684">
        <f t="shared" si="40"/>
        <v>0</v>
      </c>
      <c r="AG35" s="661"/>
    </row>
    <row r="36" spans="2:33" ht="30" customHeight="1" outlineLevel="1" x14ac:dyDescent="0.2">
      <c r="B36" s="440" t="s">
        <v>7</v>
      </c>
      <c r="C36" s="441" t="s">
        <v>20</v>
      </c>
      <c r="D36" s="441" t="s">
        <v>20</v>
      </c>
      <c r="E36" s="441" t="s">
        <v>8</v>
      </c>
      <c r="F36" s="441" t="s">
        <v>10</v>
      </c>
      <c r="G36" s="441" t="s">
        <v>11</v>
      </c>
      <c r="H36" s="441"/>
      <c r="I36" s="441"/>
      <c r="J36" s="442"/>
      <c r="K36" s="440"/>
      <c r="L36" s="642" t="s">
        <v>52</v>
      </c>
      <c r="M36" s="443"/>
      <c r="N36" s="443"/>
      <c r="O36" s="444"/>
      <c r="P36" s="444"/>
      <c r="Q36" s="620">
        <f>+Q37+Q39</f>
        <v>10576000</v>
      </c>
      <c r="R36" s="620">
        <f t="shared" ref="R36:S36" si="41">+R37+R39</f>
        <v>0</v>
      </c>
      <c r="S36" s="620">
        <f t="shared" si="41"/>
        <v>0</v>
      </c>
      <c r="T36" s="445"/>
      <c r="U36" s="662"/>
      <c r="V36" s="665"/>
      <c r="W36" s="684">
        <f t="shared" ref="W36:AB36" si="42">+W37+W39</f>
        <v>10576000</v>
      </c>
      <c r="X36" s="684">
        <f t="shared" si="42"/>
        <v>10576000</v>
      </c>
      <c r="Y36" s="684">
        <f>+Y37+Y39</f>
        <v>0</v>
      </c>
      <c r="Z36" s="684">
        <f>+Z37+Z39</f>
        <v>0</v>
      </c>
      <c r="AA36" s="684">
        <f t="shared" si="42"/>
        <v>10576000</v>
      </c>
      <c r="AB36" s="684">
        <f t="shared" si="42"/>
        <v>0</v>
      </c>
      <c r="AG36" s="661"/>
    </row>
    <row r="37" spans="2:33" ht="15" customHeight="1" outlineLevel="1" x14ac:dyDescent="0.2">
      <c r="B37" s="446" t="s">
        <v>7</v>
      </c>
      <c r="C37" s="447" t="s">
        <v>20</v>
      </c>
      <c r="D37" s="447" t="s">
        <v>20</v>
      </c>
      <c r="E37" s="447" t="s">
        <v>8</v>
      </c>
      <c r="F37" s="447" t="s">
        <v>10</v>
      </c>
      <c r="G37" s="447" t="s">
        <v>11</v>
      </c>
      <c r="H37" s="447" t="s">
        <v>27</v>
      </c>
      <c r="I37" s="447"/>
      <c r="J37" s="449"/>
      <c r="K37" s="446"/>
      <c r="L37" s="643" t="s">
        <v>53</v>
      </c>
      <c r="M37" s="450"/>
      <c r="N37" s="450"/>
      <c r="O37" s="451"/>
      <c r="P37" s="451"/>
      <c r="Q37" s="621">
        <f>SUM(Q38:Q38)</f>
        <v>2520000</v>
      </c>
      <c r="R37" s="621">
        <f t="shared" ref="R37:S37" si="43">SUM(R38:R38)</f>
        <v>0</v>
      </c>
      <c r="S37" s="621">
        <f t="shared" si="43"/>
        <v>0</v>
      </c>
      <c r="T37" s="467"/>
      <c r="U37" s="662"/>
      <c r="V37" s="665"/>
      <c r="W37" s="684">
        <f t="shared" ref="W37:AB37" si="44">SUM(W38:W38)</f>
        <v>2520000</v>
      </c>
      <c r="X37" s="684">
        <f t="shared" si="44"/>
        <v>2520000</v>
      </c>
      <c r="Y37" s="684">
        <f>SUM(Y38:Y38)</f>
        <v>0</v>
      </c>
      <c r="Z37" s="684">
        <f>SUM(Z38:Z38)</f>
        <v>0</v>
      </c>
      <c r="AA37" s="684">
        <f t="shared" si="44"/>
        <v>2520000</v>
      </c>
      <c r="AB37" s="684">
        <f t="shared" si="44"/>
        <v>0</v>
      </c>
      <c r="AG37" s="661"/>
    </row>
    <row r="38" spans="2:33" ht="30" outlineLevel="1" x14ac:dyDescent="0.2">
      <c r="B38" s="758"/>
      <c r="C38" s="754"/>
      <c r="D38" s="754"/>
      <c r="E38" s="754"/>
      <c r="F38" s="754"/>
      <c r="G38" s="754"/>
      <c r="H38" s="754"/>
      <c r="I38" s="754"/>
      <c r="J38" s="754"/>
      <c r="K38" s="453">
        <v>50161500</v>
      </c>
      <c r="L38" s="454" t="s">
        <v>516</v>
      </c>
      <c r="M38" s="455">
        <v>44607</v>
      </c>
      <c r="N38" s="455" t="s">
        <v>466</v>
      </c>
      <c r="O38" s="456" t="s">
        <v>515</v>
      </c>
      <c r="P38" s="456" t="s">
        <v>336</v>
      </c>
      <c r="Q38" s="468">
        <v>2520000</v>
      </c>
      <c r="R38" s="458"/>
      <c r="S38" s="459"/>
      <c r="T38" s="460" t="s">
        <v>513</v>
      </c>
      <c r="U38" s="748">
        <v>27722</v>
      </c>
      <c r="V38" s="751">
        <v>44631</v>
      </c>
      <c r="W38" s="419">
        <f>+Q38</f>
        <v>2520000</v>
      </c>
      <c r="X38" s="419">
        <v>2520000</v>
      </c>
      <c r="Y38" s="689">
        <f>+X38-AA38</f>
        <v>0</v>
      </c>
      <c r="Z38" s="689">
        <f>+Q38-X38</f>
        <v>0</v>
      </c>
      <c r="AA38" s="419">
        <v>2520000</v>
      </c>
      <c r="AB38" s="419">
        <f>(Q38-X38)</f>
        <v>0</v>
      </c>
      <c r="AG38" s="661"/>
    </row>
    <row r="39" spans="2:33" ht="15" customHeight="1" outlineLevel="1" x14ac:dyDescent="0.2">
      <c r="B39" s="446" t="s">
        <v>7</v>
      </c>
      <c r="C39" s="447" t="s">
        <v>20</v>
      </c>
      <c r="D39" s="447" t="s">
        <v>20</v>
      </c>
      <c r="E39" s="447" t="s">
        <v>8</v>
      </c>
      <c r="F39" s="447" t="s">
        <v>10</v>
      </c>
      <c r="G39" s="447" t="s">
        <v>11</v>
      </c>
      <c r="H39" s="447" t="s">
        <v>30</v>
      </c>
      <c r="I39" s="447"/>
      <c r="J39" s="449"/>
      <c r="K39" s="446"/>
      <c r="L39" s="643" t="s">
        <v>54</v>
      </c>
      <c r="M39" s="450"/>
      <c r="N39" s="450"/>
      <c r="O39" s="451"/>
      <c r="P39" s="451"/>
      <c r="Q39" s="621">
        <f>SUM(Q40:Q40)</f>
        <v>8056000</v>
      </c>
      <c r="R39" s="621">
        <f t="shared" ref="R39:S39" si="45">SUM(R40:R40)</f>
        <v>0</v>
      </c>
      <c r="S39" s="621">
        <f t="shared" si="45"/>
        <v>0</v>
      </c>
      <c r="T39" s="467"/>
      <c r="U39" s="750"/>
      <c r="V39" s="752"/>
      <c r="W39" s="684">
        <f t="shared" ref="W39:AB39" si="46">SUM(W40:W40)</f>
        <v>8056000</v>
      </c>
      <c r="X39" s="684">
        <f t="shared" si="46"/>
        <v>8056000</v>
      </c>
      <c r="Y39" s="684">
        <f>SUM(Y40:Y40)</f>
        <v>0</v>
      </c>
      <c r="Z39" s="684">
        <f>SUM(Z40:Z40)</f>
        <v>0</v>
      </c>
      <c r="AA39" s="684">
        <f t="shared" si="46"/>
        <v>8056000</v>
      </c>
      <c r="AB39" s="684">
        <f t="shared" si="46"/>
        <v>0</v>
      </c>
      <c r="AG39" s="661"/>
    </row>
    <row r="40" spans="2:33" ht="30" outlineLevel="1" x14ac:dyDescent="0.2">
      <c r="B40" s="758"/>
      <c r="C40" s="754"/>
      <c r="D40" s="754"/>
      <c r="E40" s="754"/>
      <c r="F40" s="754"/>
      <c r="G40" s="754"/>
      <c r="H40" s="754"/>
      <c r="I40" s="754"/>
      <c r="J40" s="754"/>
      <c r="K40" s="463">
        <v>50161500</v>
      </c>
      <c r="L40" s="454" t="s">
        <v>517</v>
      </c>
      <c r="M40" s="455">
        <v>44607</v>
      </c>
      <c r="N40" s="455" t="s">
        <v>466</v>
      </c>
      <c r="O40" s="456" t="s">
        <v>515</v>
      </c>
      <c r="P40" s="456" t="s">
        <v>336</v>
      </c>
      <c r="Q40" s="468">
        <f>4830000+3226000</f>
        <v>8056000</v>
      </c>
      <c r="R40" s="458"/>
      <c r="S40" s="459"/>
      <c r="T40" s="460" t="s">
        <v>513</v>
      </c>
      <c r="U40" s="749"/>
      <c r="V40" s="753"/>
      <c r="W40" s="419">
        <f>+Q40</f>
        <v>8056000</v>
      </c>
      <c r="X40" s="419">
        <v>8056000</v>
      </c>
      <c r="Y40" s="689">
        <f>+X40-AA40</f>
        <v>0</v>
      </c>
      <c r="Z40" s="689">
        <f>+Q40-X40</f>
        <v>0</v>
      </c>
      <c r="AA40" s="419">
        <v>8056000</v>
      </c>
      <c r="AB40" s="419">
        <f>(Q40-X40)</f>
        <v>0</v>
      </c>
      <c r="AG40" s="661"/>
    </row>
    <row r="41" spans="2:33" ht="15" customHeight="1" outlineLevel="1" x14ac:dyDescent="0.2">
      <c r="B41" s="440" t="s">
        <v>7</v>
      </c>
      <c r="C41" s="441" t="s">
        <v>20</v>
      </c>
      <c r="D41" s="441" t="s">
        <v>20</v>
      </c>
      <c r="E41" s="441" t="s">
        <v>8</v>
      </c>
      <c r="F41" s="441" t="s">
        <v>10</v>
      </c>
      <c r="G41" s="441" t="s">
        <v>15</v>
      </c>
      <c r="H41" s="441"/>
      <c r="I41" s="441"/>
      <c r="J41" s="442"/>
      <c r="K41" s="440"/>
      <c r="L41" s="642" t="s">
        <v>55</v>
      </c>
      <c r="M41" s="443"/>
      <c r="N41" s="443"/>
      <c r="O41" s="444"/>
      <c r="P41" s="444"/>
      <c r="Q41" s="620">
        <f>SUM(Q42:Q43)</f>
        <v>82385000</v>
      </c>
      <c r="R41" s="620">
        <f t="shared" ref="R41:S41" si="47">SUM(R42:R43)</f>
        <v>0</v>
      </c>
      <c r="S41" s="620">
        <f t="shared" si="47"/>
        <v>0</v>
      </c>
      <c r="T41" s="445"/>
      <c r="U41" s="662"/>
      <c r="V41" s="665"/>
      <c r="W41" s="684">
        <f t="shared" ref="W41:AB41" si="48">SUM(W42:W43)</f>
        <v>82385000</v>
      </c>
      <c r="X41" s="684">
        <f t="shared" si="48"/>
        <v>82385000</v>
      </c>
      <c r="Y41" s="684">
        <f>SUM(Y42:Y43)</f>
        <v>82000000</v>
      </c>
      <c r="Z41" s="684">
        <f>SUM(Z42:Z43)</f>
        <v>0</v>
      </c>
      <c r="AA41" s="684">
        <f t="shared" si="48"/>
        <v>385000</v>
      </c>
      <c r="AB41" s="684">
        <f t="shared" si="48"/>
        <v>0</v>
      </c>
      <c r="AG41" s="661"/>
    </row>
    <row r="42" spans="2:33" ht="30" outlineLevel="1" x14ac:dyDescent="0.2">
      <c r="B42" s="758"/>
      <c r="C42" s="754"/>
      <c r="D42" s="754"/>
      <c r="E42" s="754"/>
      <c r="F42" s="754"/>
      <c r="G42" s="754"/>
      <c r="H42" s="754"/>
      <c r="I42" s="754"/>
      <c r="J42" s="754"/>
      <c r="K42" s="463">
        <v>14121500</v>
      </c>
      <c r="L42" s="454" t="s">
        <v>518</v>
      </c>
      <c r="M42" s="455">
        <v>44607</v>
      </c>
      <c r="N42" s="455" t="s">
        <v>466</v>
      </c>
      <c r="O42" s="456" t="s">
        <v>515</v>
      </c>
      <c r="P42" s="456" t="s">
        <v>336</v>
      </c>
      <c r="Q42" s="468">
        <f>350000+35000</f>
        <v>385000</v>
      </c>
      <c r="R42" s="458"/>
      <c r="S42" s="459"/>
      <c r="T42" s="460" t="s">
        <v>513</v>
      </c>
      <c r="U42" s="478">
        <v>27722</v>
      </c>
      <c r="V42" s="433">
        <v>44631</v>
      </c>
      <c r="W42" s="419">
        <v>385000</v>
      </c>
      <c r="X42" s="419">
        <v>385000</v>
      </c>
      <c r="Y42" s="689">
        <f>+X42-AA42</f>
        <v>0</v>
      </c>
      <c r="Z42" s="689">
        <f>+Q42-X42</f>
        <v>0</v>
      </c>
      <c r="AA42" s="419">
        <v>385000</v>
      </c>
      <c r="AB42" s="419">
        <f>(Q42-X42)</f>
        <v>0</v>
      </c>
      <c r="AG42" s="661"/>
    </row>
    <row r="43" spans="2:33" ht="120" outlineLevel="1" x14ac:dyDescent="0.2">
      <c r="B43" s="761"/>
      <c r="C43" s="756"/>
      <c r="D43" s="756"/>
      <c r="E43" s="756"/>
      <c r="F43" s="756"/>
      <c r="G43" s="756"/>
      <c r="H43" s="756"/>
      <c r="I43" s="756"/>
      <c r="J43" s="756"/>
      <c r="K43" s="453" t="s">
        <v>534</v>
      </c>
      <c r="L43" s="454" t="s">
        <v>277</v>
      </c>
      <c r="M43" s="455">
        <v>44696</v>
      </c>
      <c r="N43" s="455" t="s">
        <v>535</v>
      </c>
      <c r="O43" s="456" t="s">
        <v>536</v>
      </c>
      <c r="P43" s="456" t="s">
        <v>532</v>
      </c>
      <c r="Q43" s="468">
        <v>82000000</v>
      </c>
      <c r="R43" s="458" t="s">
        <v>386</v>
      </c>
      <c r="S43" s="459"/>
      <c r="T43" s="460" t="s">
        <v>533</v>
      </c>
      <c r="U43" s="478">
        <v>40822</v>
      </c>
      <c r="V43" s="433">
        <v>44677</v>
      </c>
      <c r="W43" s="419">
        <v>82000000</v>
      </c>
      <c r="X43" s="419">
        <v>82000000</v>
      </c>
      <c r="Y43" s="689">
        <f>+X43-AA43</f>
        <v>82000000</v>
      </c>
      <c r="Z43" s="689">
        <f>+Q43-X43</f>
        <v>0</v>
      </c>
      <c r="AA43" s="419"/>
      <c r="AB43" s="419">
        <f>(Q43-X43)</f>
        <v>0</v>
      </c>
      <c r="AG43" s="661"/>
    </row>
    <row r="44" spans="2:33" ht="15" customHeight="1" outlineLevel="1" x14ac:dyDescent="0.2">
      <c r="B44" s="440" t="s">
        <v>7</v>
      </c>
      <c r="C44" s="441" t="s">
        <v>20</v>
      </c>
      <c r="D44" s="441" t="s">
        <v>20</v>
      </c>
      <c r="E44" s="441" t="s">
        <v>8</v>
      </c>
      <c r="F44" s="441" t="s">
        <v>10</v>
      </c>
      <c r="G44" s="441" t="s">
        <v>16</v>
      </c>
      <c r="H44" s="441"/>
      <c r="I44" s="441"/>
      <c r="J44" s="442"/>
      <c r="K44" s="440"/>
      <c r="L44" s="642" t="s">
        <v>56</v>
      </c>
      <c r="M44" s="443"/>
      <c r="N44" s="443"/>
      <c r="O44" s="444"/>
      <c r="P44" s="444"/>
      <c r="Q44" s="620">
        <f>SUM(Q45:Q46)</f>
        <v>170200000</v>
      </c>
      <c r="R44" s="620">
        <f t="shared" ref="R44:S44" si="49">SUM(R45:R46)</f>
        <v>0</v>
      </c>
      <c r="S44" s="620">
        <f t="shared" si="49"/>
        <v>0</v>
      </c>
      <c r="T44" s="445"/>
      <c r="U44" s="662"/>
      <c r="V44" s="665"/>
      <c r="W44" s="684">
        <f t="shared" ref="W44:AB44" si="50">SUM(W45:W46)</f>
        <v>160000000</v>
      </c>
      <c r="X44" s="684">
        <f t="shared" si="50"/>
        <v>170200000</v>
      </c>
      <c r="Y44" s="684">
        <f>SUM(Y45:Y46)</f>
        <v>119368005.86</v>
      </c>
      <c r="Z44" s="684">
        <f>SUM(Z45:Z46)</f>
        <v>0</v>
      </c>
      <c r="AA44" s="684">
        <f t="shared" si="50"/>
        <v>50831994.140000001</v>
      </c>
      <c r="AB44" s="684">
        <f t="shared" si="50"/>
        <v>0</v>
      </c>
      <c r="AG44" s="661"/>
    </row>
    <row r="45" spans="2:33" ht="45" outlineLevel="1" x14ac:dyDescent="0.2">
      <c r="B45" s="758"/>
      <c r="C45" s="754"/>
      <c r="D45" s="754"/>
      <c r="E45" s="754"/>
      <c r="F45" s="754"/>
      <c r="G45" s="754"/>
      <c r="H45" s="754"/>
      <c r="I45" s="754"/>
      <c r="J45" s="754"/>
      <c r="K45" s="453" t="s">
        <v>519</v>
      </c>
      <c r="L45" s="454" t="s">
        <v>183</v>
      </c>
      <c r="M45" s="455">
        <v>44635</v>
      </c>
      <c r="N45" s="455" t="s">
        <v>525</v>
      </c>
      <c r="O45" s="456" t="s">
        <v>515</v>
      </c>
      <c r="P45" s="456" t="s">
        <v>639</v>
      </c>
      <c r="Q45" s="468">
        <f>62000000+10200000</f>
        <v>72200000</v>
      </c>
      <c r="R45" s="458"/>
      <c r="S45" s="459"/>
      <c r="T45" s="460" t="s">
        <v>513</v>
      </c>
      <c r="U45" s="432">
        <v>26922</v>
      </c>
      <c r="V45" s="433">
        <v>44629</v>
      </c>
      <c r="W45" s="419">
        <v>62000000</v>
      </c>
      <c r="X45" s="419">
        <f>62000000+10200000</f>
        <v>72200000</v>
      </c>
      <c r="Y45" s="689">
        <f>+X45-AA45</f>
        <v>21368005.859999999</v>
      </c>
      <c r="Z45" s="689">
        <f>+Q45-X45</f>
        <v>0</v>
      </c>
      <c r="AA45" s="419">
        <v>50831994.140000001</v>
      </c>
      <c r="AB45" s="419">
        <f>(Q45-X45)</f>
        <v>0</v>
      </c>
      <c r="AG45" s="661"/>
    </row>
    <row r="46" spans="2:33" ht="120" outlineLevel="1" x14ac:dyDescent="0.2">
      <c r="B46" s="761"/>
      <c r="C46" s="756"/>
      <c r="D46" s="756"/>
      <c r="E46" s="756"/>
      <c r="F46" s="756"/>
      <c r="G46" s="756"/>
      <c r="H46" s="756"/>
      <c r="I46" s="756"/>
      <c r="J46" s="756"/>
      <c r="K46" s="453" t="s">
        <v>534</v>
      </c>
      <c r="L46" s="454" t="s">
        <v>278</v>
      </c>
      <c r="M46" s="455">
        <v>44696</v>
      </c>
      <c r="N46" s="455" t="s">
        <v>535</v>
      </c>
      <c r="O46" s="456" t="s">
        <v>536</v>
      </c>
      <c r="P46" s="456" t="s">
        <v>532</v>
      </c>
      <c r="Q46" s="468">
        <f>115000000-2000000-15000000</f>
        <v>98000000</v>
      </c>
      <c r="R46" s="458" t="s">
        <v>350</v>
      </c>
      <c r="S46" s="459"/>
      <c r="T46" s="460" t="s">
        <v>533</v>
      </c>
      <c r="U46" s="432">
        <v>40822</v>
      </c>
      <c r="V46" s="433">
        <v>44677</v>
      </c>
      <c r="W46" s="419">
        <v>98000000</v>
      </c>
      <c r="X46" s="419">
        <v>98000000</v>
      </c>
      <c r="Y46" s="689">
        <f>+X46-AA46</f>
        <v>98000000</v>
      </c>
      <c r="Z46" s="689">
        <f>+Q46-X46</f>
        <v>0</v>
      </c>
      <c r="AA46" s="419"/>
      <c r="AB46" s="419">
        <f>(Q46-X46)</f>
        <v>0</v>
      </c>
      <c r="AG46" s="661"/>
    </row>
    <row r="47" spans="2:33" ht="30" customHeight="1" outlineLevel="1" x14ac:dyDescent="0.2">
      <c r="B47" s="434" t="s">
        <v>7</v>
      </c>
      <c r="C47" s="435" t="s">
        <v>20</v>
      </c>
      <c r="D47" s="435" t="s">
        <v>20</v>
      </c>
      <c r="E47" s="435" t="s">
        <v>8</v>
      </c>
      <c r="F47" s="435" t="s">
        <v>11</v>
      </c>
      <c r="G47" s="435"/>
      <c r="H47" s="435"/>
      <c r="I47" s="435"/>
      <c r="J47" s="436"/>
      <c r="K47" s="434"/>
      <c r="L47" s="641" t="s">
        <v>57</v>
      </c>
      <c r="M47" s="437"/>
      <c r="N47" s="437"/>
      <c r="O47" s="438"/>
      <c r="P47" s="438"/>
      <c r="Q47" s="619">
        <f>+Q48+Q55+Q60+Q63+Q70</f>
        <v>215436600</v>
      </c>
      <c r="R47" s="619">
        <f t="shared" ref="R47:S47" si="51">+R48+R55+R60+R63+R70</f>
        <v>0</v>
      </c>
      <c r="S47" s="619">
        <f t="shared" si="51"/>
        <v>0</v>
      </c>
      <c r="T47" s="439"/>
      <c r="U47" s="662"/>
      <c r="V47" s="665"/>
      <c r="W47" s="684">
        <f t="shared" ref="W47:AB47" si="52">+W48+W55+W60+W63+W70</f>
        <v>152833439</v>
      </c>
      <c r="X47" s="684">
        <f t="shared" si="52"/>
        <v>152833439</v>
      </c>
      <c r="Y47" s="684">
        <f>+Y48+Y55+Y60+Y63+Y70</f>
        <v>55000000</v>
      </c>
      <c r="Z47" s="684">
        <f>+Z48+Z55+Z60+Z63+Z70</f>
        <v>62603161</v>
      </c>
      <c r="AA47" s="684">
        <f t="shared" si="52"/>
        <v>97833439</v>
      </c>
      <c r="AB47" s="684">
        <f t="shared" si="52"/>
        <v>62603161</v>
      </c>
      <c r="AC47" s="674">
        <f>+AA47-'[1]Sheet1 (2)'!$M$52</f>
        <v>32946000</v>
      </c>
      <c r="AG47" s="661"/>
    </row>
    <row r="48" spans="2:33" ht="30" customHeight="1" outlineLevel="1" x14ac:dyDescent="0.2">
      <c r="B48" s="440" t="s">
        <v>7</v>
      </c>
      <c r="C48" s="441" t="s">
        <v>20</v>
      </c>
      <c r="D48" s="441" t="s">
        <v>20</v>
      </c>
      <c r="E48" s="441" t="s">
        <v>8</v>
      </c>
      <c r="F48" s="441" t="s">
        <v>11</v>
      </c>
      <c r="G48" s="441" t="s">
        <v>10</v>
      </c>
      <c r="H48" s="441"/>
      <c r="I48" s="441"/>
      <c r="J48" s="442"/>
      <c r="K48" s="440"/>
      <c r="L48" s="642" t="s">
        <v>58</v>
      </c>
      <c r="M48" s="443"/>
      <c r="N48" s="443"/>
      <c r="O48" s="444"/>
      <c r="P48" s="444"/>
      <c r="Q48" s="620">
        <f>+Q49+Q52</f>
        <v>39944600</v>
      </c>
      <c r="R48" s="620">
        <f t="shared" ref="R48:S48" si="53">+R49+R52</f>
        <v>0</v>
      </c>
      <c r="S48" s="620">
        <f t="shared" si="53"/>
        <v>0</v>
      </c>
      <c r="T48" s="445"/>
      <c r="U48" s="662"/>
      <c r="V48" s="665"/>
      <c r="W48" s="684">
        <f t="shared" ref="W48:AB48" si="54">+W49+W52</f>
        <v>35683651</v>
      </c>
      <c r="X48" s="684">
        <f t="shared" si="54"/>
        <v>35683651</v>
      </c>
      <c r="Y48" s="684">
        <f>+Y49+Y52</f>
        <v>0</v>
      </c>
      <c r="Z48" s="684">
        <f>+Z49+Z52</f>
        <v>4260949</v>
      </c>
      <c r="AA48" s="684">
        <f t="shared" si="54"/>
        <v>35683651</v>
      </c>
      <c r="AB48" s="684">
        <f t="shared" si="54"/>
        <v>4260949</v>
      </c>
      <c r="AC48" s="674">
        <f>+AA48-'[1]Sheet1 (2)'!$M$53</f>
        <v>12254000</v>
      </c>
      <c r="AG48" s="661"/>
    </row>
    <row r="49" spans="2:33" ht="15" customHeight="1" outlineLevel="1" x14ac:dyDescent="0.2">
      <c r="B49" s="446" t="s">
        <v>7</v>
      </c>
      <c r="C49" s="447" t="s">
        <v>20</v>
      </c>
      <c r="D49" s="447" t="s">
        <v>20</v>
      </c>
      <c r="E49" s="447" t="s">
        <v>8</v>
      </c>
      <c r="F49" s="447" t="s">
        <v>11</v>
      </c>
      <c r="G49" s="447" t="s">
        <v>10</v>
      </c>
      <c r="H49" s="447" t="s">
        <v>8</v>
      </c>
      <c r="I49" s="447"/>
      <c r="J49" s="449"/>
      <c r="K49" s="446"/>
      <c r="L49" s="643" t="s">
        <v>59</v>
      </c>
      <c r="M49" s="450"/>
      <c r="N49" s="450"/>
      <c r="O49" s="451"/>
      <c r="P49" s="451"/>
      <c r="Q49" s="621">
        <f>SUM(Q50:Q51)</f>
        <v>32254000</v>
      </c>
      <c r="R49" s="621">
        <f t="shared" ref="R49:S49" si="55">SUM(R50:R51)</f>
        <v>0</v>
      </c>
      <c r="S49" s="621">
        <f t="shared" si="55"/>
        <v>0</v>
      </c>
      <c r="T49" s="467"/>
      <c r="U49" s="662"/>
      <c r="V49" s="665"/>
      <c r="W49" s="684">
        <f t="shared" ref="W49:AB49" si="56">SUM(W50:W51)</f>
        <v>32254000</v>
      </c>
      <c r="X49" s="684">
        <f t="shared" si="56"/>
        <v>32254000</v>
      </c>
      <c r="Y49" s="684">
        <f>SUM(Y50:Y51)</f>
        <v>0</v>
      </c>
      <c r="Z49" s="684">
        <f>SUM(Z50:Z51)</f>
        <v>0</v>
      </c>
      <c r="AA49" s="684">
        <f t="shared" si="56"/>
        <v>32254000</v>
      </c>
      <c r="AB49" s="684">
        <f t="shared" si="56"/>
        <v>0</v>
      </c>
      <c r="AG49" s="661"/>
    </row>
    <row r="50" spans="2:33" ht="180" outlineLevel="1" x14ac:dyDescent="0.2">
      <c r="B50" s="758"/>
      <c r="C50" s="754"/>
      <c r="D50" s="754"/>
      <c r="E50" s="754"/>
      <c r="F50" s="754"/>
      <c r="G50" s="754"/>
      <c r="H50" s="754"/>
      <c r="I50" s="754"/>
      <c r="J50" s="754"/>
      <c r="K50" s="453" t="s">
        <v>497</v>
      </c>
      <c r="L50" s="454" t="s">
        <v>218</v>
      </c>
      <c r="M50" s="455">
        <v>44607</v>
      </c>
      <c r="N50" s="455" t="s">
        <v>485</v>
      </c>
      <c r="O50" s="456" t="s">
        <v>498</v>
      </c>
      <c r="P50" s="456" t="s">
        <v>336</v>
      </c>
      <c r="Q50" s="457">
        <v>20000000</v>
      </c>
      <c r="R50" s="458"/>
      <c r="S50" s="459"/>
      <c r="T50" s="460" t="s">
        <v>222</v>
      </c>
      <c r="U50" s="432">
        <v>17922</v>
      </c>
      <c r="V50" s="433">
        <v>44603</v>
      </c>
      <c r="W50" s="419">
        <v>20000000</v>
      </c>
      <c r="X50" s="419">
        <v>20000000</v>
      </c>
      <c r="Y50" s="689">
        <f>+X50-AA50</f>
        <v>0</v>
      </c>
      <c r="Z50" s="689">
        <f>+Q50-X50</f>
        <v>0</v>
      </c>
      <c r="AA50" s="419">
        <v>20000000</v>
      </c>
      <c r="AB50" s="419">
        <f>(Q50-X50)</f>
        <v>0</v>
      </c>
      <c r="AG50" s="661"/>
    </row>
    <row r="51" spans="2:33" ht="45" outlineLevel="1" x14ac:dyDescent="0.2">
      <c r="B51" s="761"/>
      <c r="C51" s="756"/>
      <c r="D51" s="756"/>
      <c r="E51" s="756"/>
      <c r="F51" s="756"/>
      <c r="G51" s="756"/>
      <c r="H51" s="756"/>
      <c r="I51" s="756"/>
      <c r="J51" s="756"/>
      <c r="K51" s="453" t="s">
        <v>361</v>
      </c>
      <c r="L51" s="454" t="s">
        <v>520</v>
      </c>
      <c r="M51" s="455">
        <v>44607</v>
      </c>
      <c r="N51" s="455" t="s">
        <v>466</v>
      </c>
      <c r="O51" s="456" t="s">
        <v>515</v>
      </c>
      <c r="P51" s="456" t="s">
        <v>336</v>
      </c>
      <c r="Q51" s="468">
        <f>8750000+3504000</f>
        <v>12254000</v>
      </c>
      <c r="R51" s="458" t="s">
        <v>350</v>
      </c>
      <c r="S51" s="459"/>
      <c r="T51" s="460" t="s">
        <v>513</v>
      </c>
      <c r="U51" s="432">
        <v>27722</v>
      </c>
      <c r="V51" s="433">
        <v>44631</v>
      </c>
      <c r="W51" s="419">
        <v>12254000</v>
      </c>
      <c r="X51" s="419">
        <v>12254000</v>
      </c>
      <c r="Y51" s="689">
        <f>+X51-AA51</f>
        <v>0</v>
      </c>
      <c r="Z51" s="689">
        <f>+Q51-X51</f>
        <v>0</v>
      </c>
      <c r="AA51" s="419">
        <v>12254000</v>
      </c>
      <c r="AB51" s="419">
        <f>(Q51-X51)</f>
        <v>0</v>
      </c>
      <c r="AG51" s="661"/>
    </row>
    <row r="52" spans="2:33" ht="30" customHeight="1" outlineLevel="1" x14ac:dyDescent="0.2">
      <c r="B52" s="446" t="s">
        <v>7</v>
      </c>
      <c r="C52" s="447" t="s">
        <v>20</v>
      </c>
      <c r="D52" s="447" t="s">
        <v>20</v>
      </c>
      <c r="E52" s="447" t="s">
        <v>8</v>
      </c>
      <c r="F52" s="447" t="s">
        <v>11</v>
      </c>
      <c r="G52" s="447" t="s">
        <v>10</v>
      </c>
      <c r="H52" s="447" t="s">
        <v>24</v>
      </c>
      <c r="I52" s="447"/>
      <c r="J52" s="449"/>
      <c r="K52" s="446"/>
      <c r="L52" s="643" t="s">
        <v>138</v>
      </c>
      <c r="M52" s="450"/>
      <c r="N52" s="450"/>
      <c r="O52" s="451"/>
      <c r="P52" s="451"/>
      <c r="Q52" s="621">
        <f>SUM(Q53:Q54)</f>
        <v>7690600</v>
      </c>
      <c r="R52" s="621">
        <f t="shared" ref="R52:S52" si="57">SUM(R53:R54)</f>
        <v>0</v>
      </c>
      <c r="S52" s="621">
        <f t="shared" si="57"/>
        <v>0</v>
      </c>
      <c r="T52" s="467"/>
      <c r="U52" s="662"/>
      <c r="V52" s="665"/>
      <c r="W52" s="684">
        <f t="shared" ref="W52:AB52" si="58">SUM(W53:W54)</f>
        <v>3429651</v>
      </c>
      <c r="X52" s="684">
        <f t="shared" si="58"/>
        <v>3429651</v>
      </c>
      <c r="Y52" s="684">
        <f>SUM(Y53:Y54)</f>
        <v>0</v>
      </c>
      <c r="Z52" s="684">
        <f>SUM(Z53:Z54)</f>
        <v>4260949</v>
      </c>
      <c r="AA52" s="684">
        <f t="shared" si="58"/>
        <v>3429651</v>
      </c>
      <c r="AB52" s="684">
        <f t="shared" si="58"/>
        <v>4260949</v>
      </c>
      <c r="AG52" s="661"/>
    </row>
    <row r="53" spans="2:33" outlineLevel="1" x14ac:dyDescent="0.2">
      <c r="B53" s="761"/>
      <c r="C53" s="756"/>
      <c r="D53" s="756"/>
      <c r="E53" s="756"/>
      <c r="F53" s="756"/>
      <c r="G53" s="756"/>
      <c r="H53" s="756"/>
      <c r="I53" s="756"/>
      <c r="J53" s="756"/>
      <c r="K53" s="463"/>
      <c r="L53" s="454" t="s">
        <v>240</v>
      </c>
      <c r="M53" s="455" t="s">
        <v>375</v>
      </c>
      <c r="N53" s="455" t="s">
        <v>375</v>
      </c>
      <c r="O53" s="455" t="s">
        <v>375</v>
      </c>
      <c r="P53" s="455" t="s">
        <v>375</v>
      </c>
      <c r="Q53" s="468">
        <v>5500000</v>
      </c>
      <c r="R53" s="458"/>
      <c r="S53" s="459"/>
      <c r="T53" s="460"/>
      <c r="U53" s="432">
        <v>19722</v>
      </c>
      <c r="V53" s="433">
        <v>44608</v>
      </c>
      <c r="W53" s="419">
        <f>1000000+88451+150600</f>
        <v>1239051</v>
      </c>
      <c r="X53" s="419">
        <f t="shared" ref="X53:AA53" si="59">1000000+88451+150600</f>
        <v>1239051</v>
      </c>
      <c r="Y53" s="689">
        <f>+X53-AA53</f>
        <v>0</v>
      </c>
      <c r="Z53" s="689">
        <f>+Q53-X53</f>
        <v>4260949</v>
      </c>
      <c r="AA53" s="419">
        <f t="shared" si="59"/>
        <v>1239051</v>
      </c>
      <c r="AB53" s="419">
        <f>(Q53-X53)</f>
        <v>4260949</v>
      </c>
      <c r="AG53" s="661"/>
    </row>
    <row r="54" spans="2:33" ht="135" outlineLevel="1" x14ac:dyDescent="0.2">
      <c r="B54" s="479"/>
      <c r="C54" s="480"/>
      <c r="D54" s="480"/>
      <c r="E54" s="480"/>
      <c r="F54" s="480"/>
      <c r="G54" s="480"/>
      <c r="H54" s="480"/>
      <c r="I54" s="480"/>
      <c r="J54" s="480"/>
      <c r="K54" s="453" t="s">
        <v>685</v>
      </c>
      <c r="L54" s="454" t="s">
        <v>684</v>
      </c>
      <c r="M54" s="455">
        <v>44635</v>
      </c>
      <c r="N54" s="455" t="s">
        <v>466</v>
      </c>
      <c r="O54" s="455" t="s">
        <v>467</v>
      </c>
      <c r="P54" s="455" t="s">
        <v>686</v>
      </c>
      <c r="Q54" s="468">
        <v>2190600</v>
      </c>
      <c r="R54" s="458"/>
      <c r="S54" s="459"/>
      <c r="T54" s="460"/>
      <c r="U54" s="432">
        <v>24122</v>
      </c>
      <c r="V54" s="433">
        <v>44623</v>
      </c>
      <c r="W54" s="419">
        <v>2190600</v>
      </c>
      <c r="X54" s="419">
        <v>2190600</v>
      </c>
      <c r="Y54" s="689">
        <f>+X54-AA54</f>
        <v>0</v>
      </c>
      <c r="Z54" s="689">
        <f>+Q54-X54</f>
        <v>0</v>
      </c>
      <c r="AA54" s="419">
        <v>2190600</v>
      </c>
      <c r="AB54" s="419">
        <f>(Q54-X54)</f>
        <v>0</v>
      </c>
      <c r="AG54" s="661"/>
    </row>
    <row r="55" spans="2:33" ht="30" customHeight="1" outlineLevel="1" x14ac:dyDescent="0.2">
      <c r="B55" s="440" t="s">
        <v>7</v>
      </c>
      <c r="C55" s="441" t="s">
        <v>20</v>
      </c>
      <c r="D55" s="441" t="s">
        <v>20</v>
      </c>
      <c r="E55" s="441" t="s">
        <v>8</v>
      </c>
      <c r="F55" s="441" t="s">
        <v>11</v>
      </c>
      <c r="G55" s="441" t="s">
        <v>11</v>
      </c>
      <c r="H55" s="441"/>
      <c r="I55" s="441"/>
      <c r="J55" s="442"/>
      <c r="K55" s="440"/>
      <c r="L55" s="642" t="s">
        <v>60</v>
      </c>
      <c r="M55" s="443"/>
      <c r="N55" s="443"/>
      <c r="O55" s="444"/>
      <c r="P55" s="444"/>
      <c r="Q55" s="620">
        <f>+Q56+Q58</f>
        <v>55000000</v>
      </c>
      <c r="R55" s="620">
        <f t="shared" ref="R55:S55" si="60">+R56+R58</f>
        <v>0</v>
      </c>
      <c r="S55" s="620">
        <f t="shared" si="60"/>
        <v>0</v>
      </c>
      <c r="T55" s="445"/>
      <c r="U55" s="662"/>
      <c r="V55" s="665"/>
      <c r="W55" s="684">
        <f t="shared" ref="W55:AB55" si="61">+W56+W58</f>
        <v>35000000</v>
      </c>
      <c r="X55" s="684">
        <f t="shared" si="61"/>
        <v>35000000</v>
      </c>
      <c r="Y55" s="684">
        <f>+Y56+Y58</f>
        <v>0</v>
      </c>
      <c r="Z55" s="684">
        <f>+Z56+Z58</f>
        <v>20000000</v>
      </c>
      <c r="AA55" s="684">
        <f t="shared" si="61"/>
        <v>35000000</v>
      </c>
      <c r="AB55" s="684">
        <f t="shared" si="61"/>
        <v>20000000</v>
      </c>
      <c r="AG55" s="661"/>
    </row>
    <row r="56" spans="2:33" ht="60" customHeight="1" outlineLevel="1" x14ac:dyDescent="0.2">
      <c r="B56" s="446" t="s">
        <v>7</v>
      </c>
      <c r="C56" s="447" t="s">
        <v>20</v>
      </c>
      <c r="D56" s="447" t="s">
        <v>20</v>
      </c>
      <c r="E56" s="447" t="s">
        <v>8</v>
      </c>
      <c r="F56" s="447" t="s">
        <v>11</v>
      </c>
      <c r="G56" s="447" t="s">
        <v>11</v>
      </c>
      <c r="H56" s="447" t="s">
        <v>23</v>
      </c>
      <c r="I56" s="447"/>
      <c r="J56" s="449"/>
      <c r="K56" s="446"/>
      <c r="L56" s="643" t="s">
        <v>241</v>
      </c>
      <c r="M56" s="450"/>
      <c r="N56" s="450"/>
      <c r="O56" s="451"/>
      <c r="P56" s="451"/>
      <c r="Q56" s="621">
        <f>SUM(Q57:Q57)</f>
        <v>5000000</v>
      </c>
      <c r="R56" s="621">
        <f t="shared" ref="R56:S56" si="62">SUM(R57:R57)</f>
        <v>0</v>
      </c>
      <c r="S56" s="621">
        <f t="shared" si="62"/>
        <v>0</v>
      </c>
      <c r="T56" s="467"/>
      <c r="U56" s="662"/>
      <c r="V56" s="665"/>
      <c r="W56" s="684">
        <f t="shared" ref="W56:AB56" si="63">SUM(W57:W57)</f>
        <v>5000000</v>
      </c>
      <c r="X56" s="684">
        <f t="shared" si="63"/>
        <v>5000000</v>
      </c>
      <c r="Y56" s="684">
        <f>SUM(Y57:Y57)</f>
        <v>0</v>
      </c>
      <c r="Z56" s="684">
        <f>SUM(Z57:Z57)</f>
        <v>0</v>
      </c>
      <c r="AA56" s="684">
        <f t="shared" si="63"/>
        <v>5000000</v>
      </c>
      <c r="AB56" s="684">
        <f t="shared" si="63"/>
        <v>0</v>
      </c>
      <c r="AG56" s="661"/>
    </row>
    <row r="57" spans="2:33" ht="52.5" customHeight="1" outlineLevel="1" x14ac:dyDescent="0.2">
      <c r="B57" s="758"/>
      <c r="C57" s="754"/>
      <c r="D57" s="754"/>
      <c r="E57" s="754"/>
      <c r="F57" s="754"/>
      <c r="G57" s="754"/>
      <c r="H57" s="754"/>
      <c r="I57" s="754"/>
      <c r="J57" s="754"/>
      <c r="K57" s="463">
        <v>15121500</v>
      </c>
      <c r="L57" s="454" t="s">
        <v>568</v>
      </c>
      <c r="M57" s="455">
        <v>44596</v>
      </c>
      <c r="N57" s="455" t="s">
        <v>469</v>
      </c>
      <c r="O57" s="456" t="s">
        <v>553</v>
      </c>
      <c r="P57" s="456" t="s">
        <v>532</v>
      </c>
      <c r="Q57" s="468">
        <v>5000000</v>
      </c>
      <c r="R57" s="458"/>
      <c r="S57" s="459"/>
      <c r="T57" s="460" t="s">
        <v>569</v>
      </c>
      <c r="U57" s="432">
        <v>20922</v>
      </c>
      <c r="V57" s="433">
        <v>44610</v>
      </c>
      <c r="W57" s="419">
        <v>5000000</v>
      </c>
      <c r="X57" s="419">
        <v>5000000</v>
      </c>
      <c r="Y57" s="689">
        <f>+X57-AA57</f>
        <v>0</v>
      </c>
      <c r="Z57" s="689">
        <f>+Q57-X57</f>
        <v>0</v>
      </c>
      <c r="AA57" s="419">
        <v>5000000</v>
      </c>
      <c r="AB57" s="419">
        <f>(Q57-X57)</f>
        <v>0</v>
      </c>
      <c r="AG57" s="661"/>
    </row>
    <row r="58" spans="2:33" ht="30" customHeight="1" outlineLevel="1" x14ac:dyDescent="0.2">
      <c r="B58" s="446" t="s">
        <v>7</v>
      </c>
      <c r="C58" s="447" t="s">
        <v>20</v>
      </c>
      <c r="D58" s="447" t="s">
        <v>20</v>
      </c>
      <c r="E58" s="447" t="s">
        <v>8</v>
      </c>
      <c r="F58" s="447" t="s">
        <v>11</v>
      </c>
      <c r="G58" s="447" t="s">
        <v>11</v>
      </c>
      <c r="H58" s="447" t="s">
        <v>24</v>
      </c>
      <c r="I58" s="447"/>
      <c r="J58" s="449"/>
      <c r="K58" s="446"/>
      <c r="L58" s="643" t="s">
        <v>61</v>
      </c>
      <c r="M58" s="450"/>
      <c r="N58" s="450"/>
      <c r="O58" s="451"/>
      <c r="P58" s="451"/>
      <c r="Q58" s="621">
        <f>SUM(Q59:Q59)</f>
        <v>50000000</v>
      </c>
      <c r="R58" s="621">
        <f t="shared" ref="R58:S58" si="64">SUM(R59:R59)</f>
        <v>0</v>
      </c>
      <c r="S58" s="621">
        <f t="shared" si="64"/>
        <v>0</v>
      </c>
      <c r="T58" s="467"/>
      <c r="U58" s="662"/>
      <c r="V58" s="665"/>
      <c r="W58" s="684">
        <f t="shared" ref="W58:AB58" si="65">SUM(W59:W59)</f>
        <v>30000000</v>
      </c>
      <c r="X58" s="684">
        <f t="shared" si="65"/>
        <v>30000000</v>
      </c>
      <c r="Y58" s="684">
        <f>SUM(Y59:Y59)</f>
        <v>0</v>
      </c>
      <c r="Z58" s="684">
        <f>SUM(Z59:Z59)</f>
        <v>20000000</v>
      </c>
      <c r="AA58" s="684">
        <f t="shared" si="65"/>
        <v>30000000</v>
      </c>
      <c r="AB58" s="684">
        <f t="shared" si="65"/>
        <v>20000000</v>
      </c>
      <c r="AG58" s="661"/>
    </row>
    <row r="59" spans="2:33" ht="54" customHeight="1" outlineLevel="1" x14ac:dyDescent="0.2">
      <c r="B59" s="758"/>
      <c r="C59" s="754"/>
      <c r="D59" s="754"/>
      <c r="E59" s="754"/>
      <c r="F59" s="754"/>
      <c r="G59" s="754"/>
      <c r="H59" s="754"/>
      <c r="I59" s="754"/>
      <c r="J59" s="754"/>
      <c r="K59" s="463">
        <v>15121500</v>
      </c>
      <c r="L59" s="465" t="s">
        <v>570</v>
      </c>
      <c r="M59" s="455">
        <v>44582</v>
      </c>
      <c r="N59" s="455" t="s">
        <v>469</v>
      </c>
      <c r="O59" s="456" t="s">
        <v>553</v>
      </c>
      <c r="P59" s="456" t="s">
        <v>639</v>
      </c>
      <c r="Q59" s="468">
        <v>50000000</v>
      </c>
      <c r="R59" s="458"/>
      <c r="S59" s="459"/>
      <c r="T59" s="460" t="s">
        <v>569</v>
      </c>
      <c r="U59" s="481">
        <v>3222</v>
      </c>
      <c r="V59" s="482">
        <v>44573</v>
      </c>
      <c r="W59" s="419">
        <v>30000000</v>
      </c>
      <c r="X59" s="419">
        <v>30000000</v>
      </c>
      <c r="Y59" s="689">
        <f>+X59-AA59</f>
        <v>0</v>
      </c>
      <c r="Z59" s="689">
        <f>+Q59-X59</f>
        <v>20000000</v>
      </c>
      <c r="AA59" s="419">
        <v>30000000</v>
      </c>
      <c r="AB59" s="419">
        <f>(Q59-X59)</f>
        <v>20000000</v>
      </c>
      <c r="AG59" s="661"/>
    </row>
    <row r="60" spans="2:33" ht="30" customHeight="1" outlineLevel="1" x14ac:dyDescent="0.2">
      <c r="B60" s="440" t="s">
        <v>7</v>
      </c>
      <c r="C60" s="441" t="s">
        <v>20</v>
      </c>
      <c r="D60" s="441" t="s">
        <v>20</v>
      </c>
      <c r="E60" s="441" t="s">
        <v>8</v>
      </c>
      <c r="F60" s="441" t="s">
        <v>11</v>
      </c>
      <c r="G60" s="441" t="s">
        <v>13</v>
      </c>
      <c r="H60" s="441"/>
      <c r="I60" s="441"/>
      <c r="J60" s="442"/>
      <c r="K60" s="440"/>
      <c r="L60" s="642" t="s">
        <v>64</v>
      </c>
      <c r="M60" s="443"/>
      <c r="N60" s="443"/>
      <c r="O60" s="444"/>
      <c r="P60" s="444"/>
      <c r="Q60" s="620">
        <f>Q61</f>
        <v>14332000</v>
      </c>
      <c r="R60" s="620">
        <f t="shared" ref="R60:S60" si="66">R61</f>
        <v>0</v>
      </c>
      <c r="S60" s="620">
        <f t="shared" si="66"/>
        <v>0</v>
      </c>
      <c r="T60" s="445"/>
      <c r="U60" s="662"/>
      <c r="V60" s="665"/>
      <c r="W60" s="684">
        <f t="shared" ref="W60:AB60" si="67">W61</f>
        <v>14332000</v>
      </c>
      <c r="X60" s="684">
        <f t="shared" si="67"/>
        <v>14332000</v>
      </c>
      <c r="Y60" s="684">
        <f>Y61</f>
        <v>0</v>
      </c>
      <c r="Z60" s="684">
        <f>Z61</f>
        <v>0</v>
      </c>
      <c r="AA60" s="684">
        <f t="shared" si="67"/>
        <v>14332000</v>
      </c>
      <c r="AB60" s="684">
        <f t="shared" si="67"/>
        <v>0</v>
      </c>
      <c r="AG60" s="661"/>
    </row>
    <row r="61" spans="2:33" ht="30" outlineLevel="1" x14ac:dyDescent="0.2">
      <c r="B61" s="446" t="s">
        <v>7</v>
      </c>
      <c r="C61" s="447" t="s">
        <v>20</v>
      </c>
      <c r="D61" s="447" t="s">
        <v>20</v>
      </c>
      <c r="E61" s="447" t="s">
        <v>8</v>
      </c>
      <c r="F61" s="447" t="s">
        <v>11</v>
      </c>
      <c r="G61" s="447" t="s">
        <v>13</v>
      </c>
      <c r="H61" s="447" t="s">
        <v>23</v>
      </c>
      <c r="I61" s="447"/>
      <c r="J61" s="449"/>
      <c r="K61" s="446"/>
      <c r="L61" s="643" t="s">
        <v>65</v>
      </c>
      <c r="M61" s="450"/>
      <c r="N61" s="450"/>
      <c r="O61" s="451"/>
      <c r="P61" s="451"/>
      <c r="Q61" s="621">
        <f>SUM(Q62:Q62)</f>
        <v>14332000</v>
      </c>
      <c r="R61" s="621">
        <f t="shared" ref="R61:S61" si="68">SUM(R62:R62)</f>
        <v>0</v>
      </c>
      <c r="S61" s="621">
        <f t="shared" si="68"/>
        <v>0</v>
      </c>
      <c r="T61" s="467"/>
      <c r="U61" s="662"/>
      <c r="V61" s="665"/>
      <c r="W61" s="684">
        <f t="shared" ref="W61:AB61" si="69">SUM(W62:W62)</f>
        <v>14332000</v>
      </c>
      <c r="X61" s="684">
        <f t="shared" si="69"/>
        <v>14332000</v>
      </c>
      <c r="Y61" s="684">
        <f>SUM(Y62:Y62)</f>
        <v>0</v>
      </c>
      <c r="Z61" s="684">
        <f>SUM(Z62:Z62)</f>
        <v>0</v>
      </c>
      <c r="AA61" s="684">
        <f t="shared" si="69"/>
        <v>14332000</v>
      </c>
      <c r="AB61" s="684">
        <f t="shared" si="69"/>
        <v>0</v>
      </c>
      <c r="AG61" s="661"/>
    </row>
    <row r="62" spans="2:33" ht="30" outlineLevel="1" x14ac:dyDescent="0.2">
      <c r="B62" s="758"/>
      <c r="C62" s="754"/>
      <c r="D62" s="754"/>
      <c r="E62" s="754"/>
      <c r="F62" s="754"/>
      <c r="G62" s="754"/>
      <c r="H62" s="754"/>
      <c r="I62" s="754"/>
      <c r="J62" s="754"/>
      <c r="K62" s="453" t="s">
        <v>378</v>
      </c>
      <c r="L62" s="454" t="s">
        <v>521</v>
      </c>
      <c r="M62" s="455">
        <v>44607</v>
      </c>
      <c r="N62" s="455" t="s">
        <v>466</v>
      </c>
      <c r="O62" s="456" t="s">
        <v>515</v>
      </c>
      <c r="P62" s="456" t="s">
        <v>336</v>
      </c>
      <c r="Q62" s="468">
        <f>12600000+1732000</f>
        <v>14332000</v>
      </c>
      <c r="R62" s="458" t="s">
        <v>350</v>
      </c>
      <c r="S62" s="459"/>
      <c r="T62" s="460" t="s">
        <v>513</v>
      </c>
      <c r="U62" s="432">
        <v>27722</v>
      </c>
      <c r="V62" s="433">
        <v>44631</v>
      </c>
      <c r="W62" s="419">
        <v>14332000</v>
      </c>
      <c r="X62" s="419">
        <v>14332000</v>
      </c>
      <c r="Y62" s="689">
        <f>+X62-AA62</f>
        <v>0</v>
      </c>
      <c r="Z62" s="689">
        <f>+Q62-X62</f>
        <v>0</v>
      </c>
      <c r="AA62" s="419">
        <v>14332000</v>
      </c>
      <c r="AB62" s="419">
        <f>(Q62-X62)</f>
        <v>0</v>
      </c>
      <c r="AG62" s="661"/>
    </row>
    <row r="63" spans="2:33" ht="15" customHeight="1" outlineLevel="1" x14ac:dyDescent="0.2">
      <c r="B63" s="440" t="s">
        <v>7</v>
      </c>
      <c r="C63" s="441" t="s">
        <v>20</v>
      </c>
      <c r="D63" s="441" t="s">
        <v>20</v>
      </c>
      <c r="E63" s="441" t="s">
        <v>8</v>
      </c>
      <c r="F63" s="441" t="s">
        <v>11</v>
      </c>
      <c r="G63" s="441" t="s">
        <v>14</v>
      </c>
      <c r="H63" s="441"/>
      <c r="I63" s="441"/>
      <c r="J63" s="442"/>
      <c r="K63" s="440"/>
      <c r="L63" s="642" t="s">
        <v>66</v>
      </c>
      <c r="M63" s="443"/>
      <c r="N63" s="443"/>
      <c r="O63" s="444"/>
      <c r="P63" s="444"/>
      <c r="Q63" s="620">
        <f>+Q64+Q66+Q68</f>
        <v>76360000</v>
      </c>
      <c r="R63" s="620">
        <f t="shared" ref="R63:S63" si="70">+R64+R66+R68</f>
        <v>0</v>
      </c>
      <c r="S63" s="620">
        <f t="shared" si="70"/>
        <v>0</v>
      </c>
      <c r="T63" s="445"/>
      <c r="U63" s="662"/>
      <c r="V63" s="665"/>
      <c r="W63" s="684">
        <f t="shared" ref="W63:AB63" si="71">+W64+W66+W68</f>
        <v>61360000</v>
      </c>
      <c r="X63" s="684">
        <f t="shared" si="71"/>
        <v>61360000</v>
      </c>
      <c r="Y63" s="684">
        <f>+Y64+Y66+Y68</f>
        <v>55000000</v>
      </c>
      <c r="Z63" s="684">
        <f>+Z64+Z66+Z68</f>
        <v>15000000</v>
      </c>
      <c r="AA63" s="684">
        <f t="shared" si="71"/>
        <v>6360000</v>
      </c>
      <c r="AB63" s="684">
        <f t="shared" si="71"/>
        <v>15000000</v>
      </c>
      <c r="AG63" s="661"/>
    </row>
    <row r="64" spans="2:33" ht="15" customHeight="1" outlineLevel="1" x14ac:dyDescent="0.2">
      <c r="B64" s="446" t="s">
        <v>7</v>
      </c>
      <c r="C64" s="447" t="s">
        <v>20</v>
      </c>
      <c r="D64" s="447" t="s">
        <v>20</v>
      </c>
      <c r="E64" s="447" t="s">
        <v>8</v>
      </c>
      <c r="F64" s="447" t="s">
        <v>11</v>
      </c>
      <c r="G64" s="447" t="s">
        <v>14</v>
      </c>
      <c r="H64" s="447" t="s">
        <v>8</v>
      </c>
      <c r="I64" s="447"/>
      <c r="J64" s="449"/>
      <c r="K64" s="446"/>
      <c r="L64" s="643" t="s">
        <v>67</v>
      </c>
      <c r="M64" s="450"/>
      <c r="N64" s="450"/>
      <c r="O64" s="451"/>
      <c r="P64" s="451"/>
      <c r="Q64" s="621">
        <f>SUM(Q65:Q65)</f>
        <v>15000000</v>
      </c>
      <c r="R64" s="621">
        <f t="shared" ref="R64:S64" si="72">SUM(R65:R65)</f>
        <v>0</v>
      </c>
      <c r="S64" s="621">
        <f t="shared" si="72"/>
        <v>0</v>
      </c>
      <c r="T64" s="467"/>
      <c r="U64" s="662"/>
      <c r="V64" s="665"/>
      <c r="W64" s="684">
        <f t="shared" ref="W64:AB64" si="73">SUM(W65:W65)</f>
        <v>0</v>
      </c>
      <c r="X64" s="684">
        <f t="shared" si="73"/>
        <v>0</v>
      </c>
      <c r="Y64" s="684">
        <f>SUM(Y65:Y65)</f>
        <v>0</v>
      </c>
      <c r="Z64" s="684">
        <f>SUM(Z65:Z65)</f>
        <v>15000000</v>
      </c>
      <c r="AA64" s="684">
        <f t="shared" si="73"/>
        <v>0</v>
      </c>
      <c r="AB64" s="684">
        <f t="shared" si="73"/>
        <v>15000000</v>
      </c>
      <c r="AG64" s="661"/>
    </row>
    <row r="65" spans="2:73" ht="46.5" customHeight="1" outlineLevel="1" x14ac:dyDescent="0.2">
      <c r="B65" s="758"/>
      <c r="C65" s="754"/>
      <c r="D65" s="754"/>
      <c r="E65" s="754"/>
      <c r="F65" s="754"/>
      <c r="G65" s="754"/>
      <c r="H65" s="754"/>
      <c r="I65" s="754"/>
      <c r="J65" s="754"/>
      <c r="K65" s="463">
        <v>25172500</v>
      </c>
      <c r="L65" s="454" t="s">
        <v>571</v>
      </c>
      <c r="M65" s="455">
        <v>44722</v>
      </c>
      <c r="N65" s="455" t="s">
        <v>572</v>
      </c>
      <c r="O65" s="456" t="s">
        <v>573</v>
      </c>
      <c r="P65" s="456" t="s">
        <v>639</v>
      </c>
      <c r="Q65" s="468">
        <v>15000000</v>
      </c>
      <c r="R65" s="458"/>
      <c r="S65" s="459"/>
      <c r="T65" s="460" t="s">
        <v>569</v>
      </c>
      <c r="U65" s="432"/>
      <c r="V65" s="433"/>
      <c r="W65" s="419"/>
      <c r="X65" s="419"/>
      <c r="Y65" s="689">
        <f>+X65-AA65</f>
        <v>0</v>
      </c>
      <c r="Z65" s="689">
        <f>+Q65-X65</f>
        <v>15000000</v>
      </c>
      <c r="AA65" s="419"/>
      <c r="AB65" s="419">
        <f>(Q65-X65)</f>
        <v>15000000</v>
      </c>
      <c r="AG65" s="661"/>
    </row>
    <row r="66" spans="2:73" ht="15" customHeight="1" outlineLevel="1" x14ac:dyDescent="0.2">
      <c r="B66" s="446" t="s">
        <v>7</v>
      </c>
      <c r="C66" s="447" t="s">
        <v>20</v>
      </c>
      <c r="D66" s="447" t="s">
        <v>20</v>
      </c>
      <c r="E66" s="447" t="s">
        <v>8</v>
      </c>
      <c r="F66" s="447" t="s">
        <v>11</v>
      </c>
      <c r="G66" s="447" t="s">
        <v>14</v>
      </c>
      <c r="H66" s="447" t="s">
        <v>20</v>
      </c>
      <c r="I66" s="447"/>
      <c r="J66" s="449"/>
      <c r="K66" s="446"/>
      <c r="L66" s="643" t="s">
        <v>68</v>
      </c>
      <c r="M66" s="450"/>
      <c r="N66" s="450"/>
      <c r="O66" s="451"/>
      <c r="P66" s="451"/>
      <c r="Q66" s="621">
        <f>SUM(Q67:Q67)</f>
        <v>55000000</v>
      </c>
      <c r="R66" s="621">
        <f t="shared" ref="R66:S66" si="74">SUM(R67:R67)</f>
        <v>0</v>
      </c>
      <c r="S66" s="621">
        <f t="shared" si="74"/>
        <v>0</v>
      </c>
      <c r="T66" s="467"/>
      <c r="U66" s="662"/>
      <c r="V66" s="665"/>
      <c r="W66" s="684">
        <f t="shared" ref="W66:AB66" si="75">SUM(W67:W67)</f>
        <v>55000000</v>
      </c>
      <c r="X66" s="684">
        <f t="shared" si="75"/>
        <v>55000000</v>
      </c>
      <c r="Y66" s="684">
        <f>SUM(Y67:Y67)</f>
        <v>55000000</v>
      </c>
      <c r="Z66" s="684">
        <f>SUM(Z67:Z67)</f>
        <v>0</v>
      </c>
      <c r="AA66" s="684">
        <f t="shared" si="75"/>
        <v>0</v>
      </c>
      <c r="AB66" s="684">
        <f t="shared" si="75"/>
        <v>0</v>
      </c>
      <c r="AG66" s="661"/>
    </row>
    <row r="67" spans="2:73" ht="120" outlineLevel="1" x14ac:dyDescent="0.2">
      <c r="B67" s="758"/>
      <c r="C67" s="754"/>
      <c r="D67" s="754"/>
      <c r="E67" s="754"/>
      <c r="F67" s="754"/>
      <c r="G67" s="754"/>
      <c r="H67" s="754"/>
      <c r="I67" s="754"/>
      <c r="J67" s="754"/>
      <c r="K67" s="453" t="s">
        <v>534</v>
      </c>
      <c r="L67" s="454" t="s">
        <v>279</v>
      </c>
      <c r="M67" s="455">
        <v>44696</v>
      </c>
      <c r="N67" s="455" t="s">
        <v>535</v>
      </c>
      <c r="O67" s="456" t="s">
        <v>539</v>
      </c>
      <c r="P67" s="456" t="s">
        <v>532</v>
      </c>
      <c r="Q67" s="468">
        <v>55000000</v>
      </c>
      <c r="R67" s="458" t="s">
        <v>386</v>
      </c>
      <c r="S67" s="459"/>
      <c r="T67" s="460" t="s">
        <v>533</v>
      </c>
      <c r="U67" s="432">
        <v>40822</v>
      </c>
      <c r="V67" s="433">
        <v>44677</v>
      </c>
      <c r="W67" s="419">
        <v>55000000</v>
      </c>
      <c r="X67" s="419">
        <v>55000000</v>
      </c>
      <c r="Y67" s="689">
        <f>+X67-AA67</f>
        <v>55000000</v>
      </c>
      <c r="Z67" s="689">
        <f>+Q67-X67</f>
        <v>0</v>
      </c>
      <c r="AA67" s="419"/>
      <c r="AB67" s="419">
        <f>(Q67-X67)</f>
        <v>0</v>
      </c>
      <c r="AG67" s="661"/>
    </row>
    <row r="68" spans="2:73" ht="15" customHeight="1" outlineLevel="1" x14ac:dyDescent="0.2">
      <c r="B68" s="446" t="s">
        <v>7</v>
      </c>
      <c r="C68" s="447" t="s">
        <v>20</v>
      </c>
      <c r="D68" s="447" t="s">
        <v>20</v>
      </c>
      <c r="E68" s="447" t="s">
        <v>8</v>
      </c>
      <c r="F68" s="447" t="s">
        <v>11</v>
      </c>
      <c r="G68" s="447" t="s">
        <v>14</v>
      </c>
      <c r="H68" s="447" t="s">
        <v>31</v>
      </c>
      <c r="I68" s="447"/>
      <c r="J68" s="449"/>
      <c r="K68" s="472"/>
      <c r="L68" s="644" t="s">
        <v>459</v>
      </c>
      <c r="M68" s="475"/>
      <c r="N68" s="475"/>
      <c r="O68" s="476"/>
      <c r="P68" s="476"/>
      <c r="Q68" s="622">
        <f>SUM(Q69:Q69)</f>
        <v>6360000</v>
      </c>
      <c r="R68" s="622">
        <f t="shared" ref="R68:S68" si="76">SUM(R69:R69)</f>
        <v>0</v>
      </c>
      <c r="S68" s="622">
        <f t="shared" si="76"/>
        <v>0</v>
      </c>
      <c r="T68" s="477"/>
      <c r="U68" s="662"/>
      <c r="V68" s="665"/>
      <c r="W68" s="684">
        <f t="shared" ref="W68:AB68" si="77">SUM(W69:W69)</f>
        <v>6360000</v>
      </c>
      <c r="X68" s="684">
        <f t="shared" si="77"/>
        <v>6360000</v>
      </c>
      <c r="Y68" s="684">
        <f>SUM(Y69:Y69)</f>
        <v>0</v>
      </c>
      <c r="Z68" s="684">
        <f>SUM(Z69:Z69)</f>
        <v>0</v>
      </c>
      <c r="AA68" s="684">
        <f t="shared" si="77"/>
        <v>6360000</v>
      </c>
      <c r="AB68" s="684">
        <f t="shared" si="77"/>
        <v>0</v>
      </c>
      <c r="AG68" s="661"/>
    </row>
    <row r="69" spans="2:73" ht="60" outlineLevel="1" x14ac:dyDescent="0.2">
      <c r="B69" s="483"/>
      <c r="C69" s="484"/>
      <c r="D69" s="484"/>
      <c r="E69" s="484"/>
      <c r="F69" s="484"/>
      <c r="G69" s="484"/>
      <c r="H69" s="484"/>
      <c r="I69" s="484"/>
      <c r="J69" s="484"/>
      <c r="K69" s="453" t="s">
        <v>377</v>
      </c>
      <c r="L69" s="454" t="s">
        <v>522</v>
      </c>
      <c r="M69" s="455">
        <v>44607</v>
      </c>
      <c r="N69" s="455" t="s">
        <v>466</v>
      </c>
      <c r="O69" s="456" t="s">
        <v>515</v>
      </c>
      <c r="P69" s="456" t="s">
        <v>336</v>
      </c>
      <c r="Q69" s="468">
        <f>4200000+2160000</f>
        <v>6360000</v>
      </c>
      <c r="R69" s="458" t="s">
        <v>350</v>
      </c>
      <c r="S69" s="459"/>
      <c r="T69" s="460" t="s">
        <v>513</v>
      </c>
      <c r="U69" s="432">
        <v>27722</v>
      </c>
      <c r="V69" s="433">
        <v>44631</v>
      </c>
      <c r="W69" s="419">
        <v>6360000</v>
      </c>
      <c r="X69" s="419">
        <v>6360000</v>
      </c>
      <c r="Y69" s="689">
        <f>+X69-AA69</f>
        <v>0</v>
      </c>
      <c r="Z69" s="689">
        <f>+Q69-X69</f>
        <v>0</v>
      </c>
      <c r="AA69" s="419">
        <v>6360000</v>
      </c>
      <c r="AB69" s="419">
        <f>(Q69-X69)</f>
        <v>0</v>
      </c>
      <c r="AG69" s="661"/>
    </row>
    <row r="70" spans="2:73" ht="15" customHeight="1" outlineLevel="1" x14ac:dyDescent="0.2">
      <c r="B70" s="440" t="s">
        <v>7</v>
      </c>
      <c r="C70" s="441" t="s">
        <v>20</v>
      </c>
      <c r="D70" s="441" t="s">
        <v>20</v>
      </c>
      <c r="E70" s="441" t="s">
        <v>8</v>
      </c>
      <c r="F70" s="441" t="s">
        <v>11</v>
      </c>
      <c r="G70" s="441" t="s">
        <v>16</v>
      </c>
      <c r="H70" s="441"/>
      <c r="I70" s="441"/>
      <c r="J70" s="442"/>
      <c r="K70" s="440"/>
      <c r="L70" s="642" t="s">
        <v>188</v>
      </c>
      <c r="M70" s="443"/>
      <c r="N70" s="443"/>
      <c r="O70" s="444"/>
      <c r="P70" s="444"/>
      <c r="Q70" s="620">
        <f>+Q71</f>
        <v>29800000</v>
      </c>
      <c r="R70" s="620">
        <f t="shared" ref="R70:S70" si="78">+R71</f>
        <v>0</v>
      </c>
      <c r="S70" s="620">
        <f t="shared" si="78"/>
        <v>0</v>
      </c>
      <c r="T70" s="445"/>
      <c r="U70" s="662"/>
      <c r="V70" s="665"/>
      <c r="W70" s="684">
        <f t="shared" ref="W70:AB70" si="79">+W71</f>
        <v>6457788</v>
      </c>
      <c r="X70" s="684">
        <f t="shared" si="79"/>
        <v>6457788</v>
      </c>
      <c r="Y70" s="684">
        <f>+Y71</f>
        <v>0</v>
      </c>
      <c r="Z70" s="684">
        <f>+Z71</f>
        <v>23342212</v>
      </c>
      <c r="AA70" s="684">
        <f t="shared" si="79"/>
        <v>6457788</v>
      </c>
      <c r="AB70" s="684">
        <f t="shared" si="79"/>
        <v>23342212</v>
      </c>
      <c r="AG70" s="661"/>
    </row>
    <row r="71" spans="2:73" ht="15.6" customHeight="1" outlineLevel="1" x14ac:dyDescent="0.2">
      <c r="B71" s="472" t="s">
        <v>7</v>
      </c>
      <c r="C71" s="473" t="s">
        <v>20</v>
      </c>
      <c r="D71" s="473" t="s">
        <v>20</v>
      </c>
      <c r="E71" s="473" t="s">
        <v>8</v>
      </c>
      <c r="F71" s="473" t="s">
        <v>11</v>
      </c>
      <c r="G71" s="447" t="s">
        <v>16</v>
      </c>
      <c r="H71" s="447" t="s">
        <v>31</v>
      </c>
      <c r="I71" s="473"/>
      <c r="J71" s="474"/>
      <c r="K71" s="472"/>
      <c r="L71" s="644" t="s">
        <v>189</v>
      </c>
      <c r="M71" s="475"/>
      <c r="N71" s="475"/>
      <c r="O71" s="476"/>
      <c r="P71" s="476"/>
      <c r="Q71" s="622">
        <f>SUM(Q72:Q72)</f>
        <v>29800000</v>
      </c>
      <c r="R71" s="622">
        <f t="shared" ref="R71:S71" si="80">SUM(R72:R72)</f>
        <v>0</v>
      </c>
      <c r="S71" s="622">
        <f t="shared" si="80"/>
        <v>0</v>
      </c>
      <c r="T71" s="477"/>
      <c r="U71" s="662"/>
      <c r="V71" s="665"/>
      <c r="W71" s="684">
        <f t="shared" ref="W71:AB71" si="81">SUM(W72:W72)</f>
        <v>6457788</v>
      </c>
      <c r="X71" s="684">
        <f t="shared" si="81"/>
        <v>6457788</v>
      </c>
      <c r="Y71" s="684">
        <f>SUM(Y72:Y72)</f>
        <v>0</v>
      </c>
      <c r="Z71" s="684">
        <f>SUM(Z72:Z72)</f>
        <v>23342212</v>
      </c>
      <c r="AA71" s="684">
        <f t="shared" si="81"/>
        <v>6457788</v>
      </c>
      <c r="AB71" s="684">
        <f t="shared" si="81"/>
        <v>23342212</v>
      </c>
      <c r="AG71" s="661"/>
    </row>
    <row r="72" spans="2:73" s="485" customFormat="1" outlineLevel="1" x14ac:dyDescent="0.2">
      <c r="B72" s="761"/>
      <c r="C72" s="756"/>
      <c r="D72" s="756"/>
      <c r="E72" s="756"/>
      <c r="F72" s="756"/>
      <c r="G72" s="756"/>
      <c r="H72" s="756"/>
      <c r="I72" s="756"/>
      <c r="J72" s="756"/>
      <c r="K72" s="463"/>
      <c r="L72" s="454" t="s">
        <v>275</v>
      </c>
      <c r="M72" s="455" t="s">
        <v>375</v>
      </c>
      <c r="N72" s="455" t="s">
        <v>375</v>
      </c>
      <c r="O72" s="455" t="s">
        <v>375</v>
      </c>
      <c r="P72" s="455" t="s">
        <v>375</v>
      </c>
      <c r="Q72" s="468">
        <v>29800000</v>
      </c>
      <c r="R72" s="458"/>
      <c r="S72" s="460"/>
      <c r="T72" s="460"/>
      <c r="U72" s="432">
        <v>19722</v>
      </c>
      <c r="V72" s="433">
        <v>44608</v>
      </c>
      <c r="W72" s="419">
        <f>+'[2]Exportar - 2022-06-07T094020.82'!$O$50+'[2]Exportar - 2022-06-07T094020.82'!$O$51+'[2]Exportar - 2022-06-07T094020.82'!$O$52</f>
        <v>6457788</v>
      </c>
      <c r="X72" s="419">
        <f>+'[2]Exportar - 2022-06-07T094020.82'!$O$50+'[2]Exportar - 2022-06-07T094020.82'!$O$51+'[2]Exportar - 2022-06-07T094020.82'!$O$52</f>
        <v>6457788</v>
      </c>
      <c r="Y72" s="689">
        <f>+X72-AA72</f>
        <v>0</v>
      </c>
      <c r="Z72" s="689">
        <f>+Q72-X72</f>
        <v>23342212</v>
      </c>
      <c r="AA72" s="419">
        <v>6457788</v>
      </c>
      <c r="AB72" s="419">
        <f>(Q72-X72)</f>
        <v>23342212</v>
      </c>
      <c r="AG72" s="661"/>
    </row>
    <row r="73" spans="2:73" ht="15" customHeight="1" outlineLevel="1" x14ac:dyDescent="0.2">
      <c r="B73" s="434" t="s">
        <v>7</v>
      </c>
      <c r="C73" s="435" t="s">
        <v>20</v>
      </c>
      <c r="D73" s="435" t="s">
        <v>20</v>
      </c>
      <c r="E73" s="435" t="s">
        <v>8</v>
      </c>
      <c r="F73" s="435" t="s">
        <v>12</v>
      </c>
      <c r="G73" s="435"/>
      <c r="H73" s="435"/>
      <c r="I73" s="435"/>
      <c r="J73" s="436"/>
      <c r="K73" s="434"/>
      <c r="L73" s="641" t="s">
        <v>73</v>
      </c>
      <c r="M73" s="437"/>
      <c r="N73" s="437"/>
      <c r="O73" s="438"/>
      <c r="P73" s="438"/>
      <c r="Q73" s="619">
        <f>Q79+Q82+Q89+Q74+Q76</f>
        <v>507286339.06999999</v>
      </c>
      <c r="R73" s="619">
        <f t="shared" ref="R73:S73" si="82">R79+R82+R89+R74+R76</f>
        <v>0</v>
      </c>
      <c r="S73" s="619">
        <f t="shared" si="82"/>
        <v>0</v>
      </c>
      <c r="T73" s="439"/>
      <c r="U73" s="662"/>
      <c r="V73" s="665"/>
      <c r="W73" s="684">
        <f t="shared" ref="W73:AB73" si="83">W79+W82+W89+W74+W76</f>
        <v>292955000</v>
      </c>
      <c r="X73" s="684">
        <f t="shared" si="83"/>
        <v>474936339.06999999</v>
      </c>
      <c r="Y73" s="684">
        <f>Y79+Y82+Y89+Y74+Y76</f>
        <v>72199850</v>
      </c>
      <c r="Z73" s="684">
        <f>Z79+Z82+Z89+Z74+Z76</f>
        <v>32350000</v>
      </c>
      <c r="AA73" s="684">
        <f t="shared" si="83"/>
        <v>402736489.06999999</v>
      </c>
      <c r="AB73" s="684">
        <f t="shared" si="83"/>
        <v>32350000</v>
      </c>
      <c r="AG73" s="661"/>
    </row>
    <row r="74" spans="2:73" s="466" customFormat="1" ht="15" customHeight="1" outlineLevel="1" x14ac:dyDescent="0.2">
      <c r="B74" s="440" t="s">
        <v>7</v>
      </c>
      <c r="C74" s="441" t="s">
        <v>20</v>
      </c>
      <c r="D74" s="441" t="s">
        <v>20</v>
      </c>
      <c r="E74" s="441" t="s">
        <v>8</v>
      </c>
      <c r="F74" s="441" t="s">
        <v>12</v>
      </c>
      <c r="G74" s="469" t="s">
        <v>10</v>
      </c>
      <c r="H74" s="441"/>
      <c r="I74" s="441"/>
      <c r="J74" s="442"/>
      <c r="K74" s="440"/>
      <c r="L74" s="642" t="s">
        <v>74</v>
      </c>
      <c r="M74" s="443"/>
      <c r="N74" s="443"/>
      <c r="O74" s="444"/>
      <c r="P74" s="444"/>
      <c r="Q74" s="620">
        <f>+Q75</f>
        <v>4100000</v>
      </c>
      <c r="R74" s="620">
        <f>SUM(R75)</f>
        <v>0</v>
      </c>
      <c r="S74" s="620">
        <f>SUM(S75)</f>
        <v>0</v>
      </c>
      <c r="T74" s="445"/>
      <c r="U74" s="662"/>
      <c r="V74" s="665"/>
      <c r="W74" s="684">
        <f t="shared" ref="W74:AB74" si="84">SUM(W75)</f>
        <v>0</v>
      </c>
      <c r="X74" s="684">
        <f t="shared" si="84"/>
        <v>0</v>
      </c>
      <c r="Y74" s="684">
        <f>SUM(Y75)</f>
        <v>0</v>
      </c>
      <c r="Z74" s="684">
        <f>SUM(Z75)</f>
        <v>4100000</v>
      </c>
      <c r="AA74" s="684">
        <f t="shared" si="84"/>
        <v>0</v>
      </c>
      <c r="AB74" s="684">
        <f t="shared" si="84"/>
        <v>4100000</v>
      </c>
      <c r="AG74" s="661"/>
    </row>
    <row r="75" spans="2:73" s="488" customFormat="1" ht="60" outlineLevel="1" x14ac:dyDescent="0.2">
      <c r="B75" s="463"/>
      <c r="C75" s="458"/>
      <c r="D75" s="458"/>
      <c r="E75" s="458"/>
      <c r="F75" s="458"/>
      <c r="G75" s="458"/>
      <c r="H75" s="458"/>
      <c r="I75" s="458"/>
      <c r="J75" s="486"/>
      <c r="K75" s="453" t="s">
        <v>298</v>
      </c>
      <c r="L75" s="487" t="s">
        <v>465</v>
      </c>
      <c r="M75" s="455" t="s">
        <v>500</v>
      </c>
      <c r="N75" s="456" t="s">
        <v>331</v>
      </c>
      <c r="O75" s="456" t="s">
        <v>467</v>
      </c>
      <c r="P75" s="456" t="s">
        <v>532</v>
      </c>
      <c r="Q75" s="468">
        <f>50400000-40000000-6300000</f>
        <v>4100000</v>
      </c>
      <c r="R75" s="458" t="s">
        <v>694</v>
      </c>
      <c r="S75" s="459"/>
      <c r="T75" s="460" t="s">
        <v>474</v>
      </c>
      <c r="U75" s="432"/>
      <c r="V75" s="433"/>
      <c r="W75" s="419"/>
      <c r="X75" s="419"/>
      <c r="Y75" s="689">
        <f>+X75-AA75</f>
        <v>0</v>
      </c>
      <c r="Z75" s="689">
        <f>+Q75-X75</f>
        <v>4100000</v>
      </c>
      <c r="AA75" s="419"/>
      <c r="AB75" s="419">
        <f>(Q75-X75)</f>
        <v>4100000</v>
      </c>
      <c r="AG75" s="661"/>
    </row>
    <row r="76" spans="2:73" ht="15" customHeight="1" outlineLevel="1" x14ac:dyDescent="0.2">
      <c r="B76" s="440" t="s">
        <v>7</v>
      </c>
      <c r="C76" s="441" t="s">
        <v>20</v>
      </c>
      <c r="D76" s="441" t="s">
        <v>20</v>
      </c>
      <c r="E76" s="441" t="s">
        <v>8</v>
      </c>
      <c r="F76" s="441" t="s">
        <v>12</v>
      </c>
      <c r="G76" s="441" t="s">
        <v>12</v>
      </c>
      <c r="H76" s="441"/>
      <c r="I76" s="441"/>
      <c r="J76" s="442"/>
      <c r="K76" s="440"/>
      <c r="L76" s="642" t="s">
        <v>39</v>
      </c>
      <c r="M76" s="443"/>
      <c r="N76" s="443"/>
      <c r="O76" s="444"/>
      <c r="P76" s="444"/>
      <c r="Q76" s="620">
        <f>+Q77</f>
        <v>2000000</v>
      </c>
      <c r="R76" s="620">
        <f t="shared" ref="R76:S76" si="85">+R77</f>
        <v>0</v>
      </c>
      <c r="S76" s="620">
        <f t="shared" si="85"/>
        <v>0</v>
      </c>
      <c r="T76" s="489"/>
      <c r="U76" s="669"/>
      <c r="V76" s="669"/>
      <c r="W76" s="684">
        <f t="shared" ref="W76:AB76" si="86">+W77</f>
        <v>0</v>
      </c>
      <c r="X76" s="684">
        <f t="shared" si="86"/>
        <v>0</v>
      </c>
      <c r="Y76" s="684">
        <f>+Y77</f>
        <v>0</v>
      </c>
      <c r="Z76" s="684">
        <f>+Z77</f>
        <v>2000000</v>
      </c>
      <c r="AA76" s="684">
        <f t="shared" si="86"/>
        <v>0</v>
      </c>
      <c r="AB76" s="684">
        <f t="shared" si="86"/>
        <v>2000000</v>
      </c>
      <c r="AG76" s="661"/>
      <c r="AX76" s="466"/>
      <c r="AY76" s="466"/>
      <c r="AZ76" s="466"/>
      <c r="BA76" s="466"/>
      <c r="BB76" s="466"/>
      <c r="BC76" s="466"/>
      <c r="BD76" s="466"/>
      <c r="BE76" s="466"/>
      <c r="BF76" s="466"/>
      <c r="BG76" s="466"/>
      <c r="BH76" s="466"/>
      <c r="BI76" s="466"/>
      <c r="BJ76" s="466"/>
      <c r="BK76" s="466"/>
      <c r="BL76" s="466"/>
      <c r="BM76" s="466"/>
      <c r="BN76" s="466"/>
      <c r="BO76" s="466"/>
      <c r="BP76" s="466"/>
      <c r="BQ76" s="466"/>
      <c r="BR76" s="466"/>
      <c r="BS76" s="466"/>
      <c r="BT76" s="466"/>
      <c r="BU76" s="466"/>
    </row>
    <row r="77" spans="2:73" ht="15" customHeight="1" outlineLevel="1" x14ac:dyDescent="0.2">
      <c r="B77" s="446" t="s">
        <v>7</v>
      </c>
      <c r="C77" s="447" t="s">
        <v>20</v>
      </c>
      <c r="D77" s="447" t="s">
        <v>20</v>
      </c>
      <c r="E77" s="447" t="s">
        <v>8</v>
      </c>
      <c r="F77" s="447" t="s">
        <v>12</v>
      </c>
      <c r="G77" s="447" t="s">
        <v>12</v>
      </c>
      <c r="H77" s="447" t="s">
        <v>31</v>
      </c>
      <c r="I77" s="447"/>
      <c r="J77" s="449"/>
      <c r="K77" s="446"/>
      <c r="L77" s="643" t="s">
        <v>41</v>
      </c>
      <c r="M77" s="450"/>
      <c r="N77" s="450"/>
      <c r="O77" s="451"/>
      <c r="P77" s="451"/>
      <c r="Q77" s="621">
        <f>SUM(Q78)</f>
        <v>2000000</v>
      </c>
      <c r="R77" s="621">
        <f t="shared" ref="R77:S77" si="87">SUM(R78)</f>
        <v>0</v>
      </c>
      <c r="S77" s="621">
        <f t="shared" si="87"/>
        <v>0</v>
      </c>
      <c r="T77" s="490"/>
      <c r="U77" s="669"/>
      <c r="V77" s="669"/>
      <c r="W77" s="684">
        <f t="shared" ref="W77:AB77" si="88">SUM(W78)</f>
        <v>0</v>
      </c>
      <c r="X77" s="684">
        <f t="shared" si="88"/>
        <v>0</v>
      </c>
      <c r="Y77" s="684">
        <f>SUM(Y78)</f>
        <v>0</v>
      </c>
      <c r="Z77" s="684">
        <f>SUM(Z78)</f>
        <v>2000000</v>
      </c>
      <c r="AA77" s="684">
        <f t="shared" si="88"/>
        <v>0</v>
      </c>
      <c r="AB77" s="684">
        <f t="shared" si="88"/>
        <v>2000000</v>
      </c>
      <c r="AG77" s="661"/>
      <c r="AX77" s="466"/>
      <c r="AY77" s="466"/>
      <c r="AZ77" s="466"/>
      <c r="BA77" s="466"/>
      <c r="BB77" s="466"/>
      <c r="BC77" s="466"/>
      <c r="BD77" s="466"/>
      <c r="BE77" s="466"/>
      <c r="BF77" s="466"/>
      <c r="BG77" s="466"/>
      <c r="BH77" s="466"/>
      <c r="BI77" s="466"/>
      <c r="BJ77" s="466"/>
      <c r="BK77" s="466"/>
      <c r="BL77" s="466"/>
      <c r="BM77" s="466"/>
      <c r="BN77" s="466"/>
      <c r="BO77" s="466"/>
      <c r="BP77" s="466"/>
      <c r="BQ77" s="466"/>
      <c r="BR77" s="466"/>
      <c r="BS77" s="466"/>
      <c r="BT77" s="466"/>
      <c r="BU77" s="466"/>
    </row>
    <row r="78" spans="2:73" ht="42.75" customHeight="1" outlineLevel="1" x14ac:dyDescent="0.2">
      <c r="B78" s="491"/>
      <c r="C78" s="492"/>
      <c r="D78" s="492"/>
      <c r="E78" s="492"/>
      <c r="F78" s="492"/>
      <c r="G78" s="492"/>
      <c r="H78" s="492"/>
      <c r="I78" s="492"/>
      <c r="J78" s="492"/>
      <c r="K78" s="453" t="s">
        <v>555</v>
      </c>
      <c r="L78" s="454" t="s">
        <v>689</v>
      </c>
      <c r="M78" s="455">
        <v>44352</v>
      </c>
      <c r="N78" s="455" t="s">
        <v>690</v>
      </c>
      <c r="O78" s="456" t="s">
        <v>496</v>
      </c>
      <c r="P78" s="456" t="s">
        <v>692</v>
      </c>
      <c r="Q78" s="468">
        <v>2000000</v>
      </c>
      <c r="R78" s="458" t="s">
        <v>386</v>
      </c>
      <c r="S78" s="459"/>
      <c r="T78" s="493" t="s">
        <v>691</v>
      </c>
      <c r="U78" s="432"/>
      <c r="V78" s="433"/>
      <c r="W78" s="419"/>
      <c r="X78" s="419"/>
      <c r="Y78" s="689">
        <f>+X78-AA78</f>
        <v>0</v>
      </c>
      <c r="Z78" s="689">
        <f>+Q78-X78</f>
        <v>2000000</v>
      </c>
      <c r="AA78" s="419"/>
      <c r="AB78" s="419">
        <f>(Q78-X78)</f>
        <v>2000000</v>
      </c>
      <c r="AG78" s="661"/>
      <c r="AX78" s="466"/>
      <c r="AY78" s="466"/>
      <c r="AZ78" s="466"/>
      <c r="BA78" s="466"/>
      <c r="BB78" s="466"/>
      <c r="BC78" s="466"/>
      <c r="BD78" s="466"/>
      <c r="BE78" s="466"/>
      <c r="BF78" s="466"/>
      <c r="BG78" s="466"/>
      <c r="BH78" s="466"/>
      <c r="BI78" s="466"/>
      <c r="BJ78" s="466"/>
      <c r="BK78" s="466"/>
      <c r="BL78" s="466"/>
      <c r="BM78" s="466"/>
      <c r="BN78" s="466"/>
      <c r="BO78" s="466"/>
      <c r="BP78" s="466"/>
      <c r="BQ78" s="466"/>
      <c r="BR78" s="466"/>
      <c r="BS78" s="466"/>
      <c r="BT78" s="466"/>
      <c r="BU78" s="466"/>
    </row>
    <row r="79" spans="2:73" ht="15" customHeight="1" outlineLevel="1" x14ac:dyDescent="0.2">
      <c r="B79" s="440" t="s">
        <v>7</v>
      </c>
      <c r="C79" s="441" t="s">
        <v>20</v>
      </c>
      <c r="D79" s="441" t="s">
        <v>20</v>
      </c>
      <c r="E79" s="441" t="s">
        <v>8</v>
      </c>
      <c r="F79" s="441" t="s">
        <v>12</v>
      </c>
      <c r="G79" s="441" t="s">
        <v>13</v>
      </c>
      <c r="H79" s="441"/>
      <c r="I79" s="441"/>
      <c r="J79" s="442"/>
      <c r="K79" s="440"/>
      <c r="L79" s="642" t="s">
        <v>42</v>
      </c>
      <c r="M79" s="443"/>
      <c r="N79" s="443"/>
      <c r="O79" s="444"/>
      <c r="P79" s="444"/>
      <c r="Q79" s="620">
        <f>+Q80</f>
        <v>1693000</v>
      </c>
      <c r="R79" s="620">
        <f t="shared" ref="R79:S79" si="89">+R80</f>
        <v>0</v>
      </c>
      <c r="S79" s="620">
        <f t="shared" si="89"/>
        <v>0</v>
      </c>
      <c r="T79" s="445"/>
      <c r="U79" s="662"/>
      <c r="V79" s="665"/>
      <c r="W79" s="684">
        <f t="shared" ref="W79:AB79" si="90">+W80</f>
        <v>8925000</v>
      </c>
      <c r="X79" s="684">
        <f t="shared" si="90"/>
        <v>1693000</v>
      </c>
      <c r="Y79" s="684">
        <f>+Y80</f>
        <v>0</v>
      </c>
      <c r="Z79" s="684">
        <f>+Z80</f>
        <v>0</v>
      </c>
      <c r="AA79" s="684">
        <f t="shared" si="90"/>
        <v>1693000</v>
      </c>
      <c r="AB79" s="684">
        <f t="shared" si="90"/>
        <v>0</v>
      </c>
      <c r="AG79" s="661"/>
    </row>
    <row r="80" spans="2:73" ht="46.5" customHeight="1" outlineLevel="1" x14ac:dyDescent="0.2">
      <c r="B80" s="446" t="s">
        <v>7</v>
      </c>
      <c r="C80" s="447" t="s">
        <v>20</v>
      </c>
      <c r="D80" s="447" t="s">
        <v>20</v>
      </c>
      <c r="E80" s="447" t="s">
        <v>8</v>
      </c>
      <c r="F80" s="447" t="s">
        <v>12</v>
      </c>
      <c r="G80" s="447" t="s">
        <v>13</v>
      </c>
      <c r="H80" s="447" t="s">
        <v>8</v>
      </c>
      <c r="I80" s="447"/>
      <c r="J80" s="449"/>
      <c r="K80" s="446"/>
      <c r="L80" s="643" t="s">
        <v>43</v>
      </c>
      <c r="M80" s="450"/>
      <c r="N80" s="450"/>
      <c r="O80" s="451"/>
      <c r="P80" s="451"/>
      <c r="Q80" s="621">
        <f>SUM(Q81:Q81)</f>
        <v>1693000</v>
      </c>
      <c r="R80" s="621">
        <f t="shared" ref="R80:S80" si="91">SUM(R81:R81)</f>
        <v>0</v>
      </c>
      <c r="S80" s="621">
        <f t="shared" si="91"/>
        <v>0</v>
      </c>
      <c r="T80" s="467"/>
      <c r="U80" s="662"/>
      <c r="V80" s="665"/>
      <c r="W80" s="684">
        <f t="shared" ref="W80:AB80" si="92">SUM(W81:W81)</f>
        <v>8925000</v>
      </c>
      <c r="X80" s="684">
        <f t="shared" si="92"/>
        <v>1693000</v>
      </c>
      <c r="Y80" s="684">
        <f>SUM(Y81:Y81)</f>
        <v>0</v>
      </c>
      <c r="Z80" s="684">
        <f>SUM(Z81:Z81)</f>
        <v>0</v>
      </c>
      <c r="AA80" s="684">
        <f t="shared" si="92"/>
        <v>1693000</v>
      </c>
      <c r="AB80" s="684">
        <f t="shared" si="92"/>
        <v>0</v>
      </c>
      <c r="AG80" s="661"/>
    </row>
    <row r="81" spans="2:33" ht="30" outlineLevel="1" x14ac:dyDescent="0.2">
      <c r="B81" s="758"/>
      <c r="C81" s="754"/>
      <c r="D81" s="754"/>
      <c r="E81" s="754"/>
      <c r="F81" s="754"/>
      <c r="G81" s="754"/>
      <c r="H81" s="754"/>
      <c r="I81" s="754"/>
      <c r="J81" s="754"/>
      <c r="K81" s="453" t="s">
        <v>300</v>
      </c>
      <c r="L81" s="454" t="s">
        <v>174</v>
      </c>
      <c r="M81" s="455">
        <v>44630</v>
      </c>
      <c r="N81" s="455" t="s">
        <v>466</v>
      </c>
      <c r="O81" s="456" t="s">
        <v>529</v>
      </c>
      <c r="P81" s="456" t="s">
        <v>318</v>
      </c>
      <c r="Q81" s="468">
        <f>8925000-7232000</f>
        <v>1693000</v>
      </c>
      <c r="R81" s="458" t="s">
        <v>350</v>
      </c>
      <c r="S81" s="459"/>
      <c r="T81" s="460" t="s">
        <v>181</v>
      </c>
      <c r="U81" s="432">
        <v>27222</v>
      </c>
      <c r="V81" s="433">
        <v>44629</v>
      </c>
      <c r="W81" s="419">
        <v>8925000</v>
      </c>
      <c r="X81" s="419">
        <v>1693000</v>
      </c>
      <c r="Y81" s="689">
        <f>+X81-AA81</f>
        <v>0</v>
      </c>
      <c r="Z81" s="689">
        <f>+Q81-X81</f>
        <v>0</v>
      </c>
      <c r="AA81" s="419">
        <v>1693000</v>
      </c>
      <c r="AB81" s="419">
        <f>(Q81-X81)</f>
        <v>0</v>
      </c>
      <c r="AG81" s="661"/>
    </row>
    <row r="82" spans="2:33" ht="15" customHeight="1" outlineLevel="1" x14ac:dyDescent="0.2">
      <c r="B82" s="440" t="s">
        <v>7</v>
      </c>
      <c r="C82" s="441" t="s">
        <v>20</v>
      </c>
      <c r="D82" s="441" t="s">
        <v>20</v>
      </c>
      <c r="E82" s="441" t="s">
        <v>8</v>
      </c>
      <c r="F82" s="441" t="s">
        <v>12</v>
      </c>
      <c r="G82" s="441" t="s">
        <v>15</v>
      </c>
      <c r="H82" s="441"/>
      <c r="I82" s="441"/>
      <c r="J82" s="442"/>
      <c r="K82" s="440"/>
      <c r="L82" s="642" t="s">
        <v>728</v>
      </c>
      <c r="M82" s="443"/>
      <c r="N82" s="443"/>
      <c r="O82" s="444"/>
      <c r="P82" s="444"/>
      <c r="Q82" s="620">
        <f>SUM(Q83:Q83)</f>
        <v>487493339.06999999</v>
      </c>
      <c r="R82" s="620">
        <f t="shared" ref="R82:S82" si="93">SUM(R83:R83)</f>
        <v>0</v>
      </c>
      <c r="S82" s="620">
        <f t="shared" si="93"/>
        <v>0</v>
      </c>
      <c r="T82" s="445"/>
      <c r="U82" s="662"/>
      <c r="V82" s="665"/>
      <c r="W82" s="684">
        <f t="shared" ref="W82:AB82" si="94">SUM(W83:W83)</f>
        <v>272030000</v>
      </c>
      <c r="X82" s="684">
        <f t="shared" si="94"/>
        <v>461243339.06999999</v>
      </c>
      <c r="Y82" s="684">
        <f>SUM(Y83:Y83)</f>
        <v>60199850</v>
      </c>
      <c r="Z82" s="684">
        <f>SUM(Z83:Z83)</f>
        <v>26250000</v>
      </c>
      <c r="AA82" s="684">
        <f t="shared" si="94"/>
        <v>401043489.06999999</v>
      </c>
      <c r="AB82" s="684">
        <f t="shared" si="94"/>
        <v>26250000</v>
      </c>
      <c r="AG82" s="661"/>
    </row>
    <row r="83" spans="2:33" ht="15" customHeight="1" outlineLevel="1" x14ac:dyDescent="0.2">
      <c r="B83" s="446" t="s">
        <v>7</v>
      </c>
      <c r="C83" s="447" t="s">
        <v>20</v>
      </c>
      <c r="D83" s="447" t="s">
        <v>20</v>
      </c>
      <c r="E83" s="447" t="s">
        <v>8</v>
      </c>
      <c r="F83" s="447" t="s">
        <v>12</v>
      </c>
      <c r="G83" s="447" t="s">
        <v>15</v>
      </c>
      <c r="H83" s="447" t="s">
        <v>30</v>
      </c>
      <c r="I83" s="447"/>
      <c r="J83" s="449"/>
      <c r="K83" s="446"/>
      <c r="L83" s="643" t="s">
        <v>48</v>
      </c>
      <c r="M83" s="450"/>
      <c r="N83" s="450"/>
      <c r="O83" s="451"/>
      <c r="P83" s="451"/>
      <c r="Q83" s="621">
        <f>SUM(Q84:Q88)</f>
        <v>487493339.06999999</v>
      </c>
      <c r="R83" s="621">
        <f t="shared" ref="R83:S83" si="95">SUM(R84:R88)</f>
        <v>0</v>
      </c>
      <c r="S83" s="621">
        <f t="shared" si="95"/>
        <v>0</v>
      </c>
      <c r="T83" s="467"/>
      <c r="U83" s="662"/>
      <c r="V83" s="665"/>
      <c r="W83" s="684">
        <f t="shared" ref="W83:AB83" si="96">SUM(W84:W88)</f>
        <v>272030000</v>
      </c>
      <c r="X83" s="684">
        <f t="shared" si="96"/>
        <v>461243339.06999999</v>
      </c>
      <c r="Y83" s="684">
        <f>SUM(Y84:Y88)</f>
        <v>60199850</v>
      </c>
      <c r="Z83" s="684">
        <f>SUM(Z84:Z88)</f>
        <v>26250000</v>
      </c>
      <c r="AA83" s="684">
        <f t="shared" si="96"/>
        <v>401043489.06999999</v>
      </c>
      <c r="AB83" s="684">
        <f t="shared" si="96"/>
        <v>26250000</v>
      </c>
      <c r="AG83" s="661"/>
    </row>
    <row r="84" spans="2:33" ht="30" outlineLevel="1" x14ac:dyDescent="0.2">
      <c r="B84" s="758"/>
      <c r="C84" s="754"/>
      <c r="D84" s="754"/>
      <c r="E84" s="754"/>
      <c r="F84" s="754"/>
      <c r="G84" s="754"/>
      <c r="H84" s="754"/>
      <c r="I84" s="754"/>
      <c r="J84" s="754"/>
      <c r="K84" s="453" t="s">
        <v>302</v>
      </c>
      <c r="L84" s="454" t="s">
        <v>172</v>
      </c>
      <c r="M84" s="455">
        <v>44814</v>
      </c>
      <c r="N84" s="455" t="s">
        <v>581</v>
      </c>
      <c r="O84" s="456" t="s">
        <v>467</v>
      </c>
      <c r="P84" s="456" t="s">
        <v>318</v>
      </c>
      <c r="Q84" s="468">
        <v>26250000</v>
      </c>
      <c r="R84" s="458" t="s">
        <v>350</v>
      </c>
      <c r="S84" s="459"/>
      <c r="T84" s="460" t="s">
        <v>181</v>
      </c>
      <c r="U84" s="432"/>
      <c r="V84" s="433"/>
      <c r="W84" s="419"/>
      <c r="X84" s="419"/>
      <c r="Y84" s="689">
        <f>+X84-AA84</f>
        <v>0</v>
      </c>
      <c r="Z84" s="689">
        <f>+Q84-X84</f>
        <v>26250000</v>
      </c>
      <c r="AA84" s="419"/>
      <c r="AB84" s="419">
        <f>(Q84-X84)</f>
        <v>26250000</v>
      </c>
      <c r="AG84" s="661"/>
    </row>
    <row r="85" spans="2:33" ht="30" outlineLevel="1" x14ac:dyDescent="0.2">
      <c r="B85" s="761"/>
      <c r="C85" s="756"/>
      <c r="D85" s="756"/>
      <c r="E85" s="756"/>
      <c r="F85" s="756"/>
      <c r="G85" s="756"/>
      <c r="H85" s="756"/>
      <c r="I85" s="756"/>
      <c r="J85" s="756"/>
      <c r="K85" s="463">
        <v>43231500</v>
      </c>
      <c r="L85" s="454" t="s">
        <v>173</v>
      </c>
      <c r="M85" s="455">
        <v>44635</v>
      </c>
      <c r="N85" s="455" t="s">
        <v>466</v>
      </c>
      <c r="O85" s="456" t="s">
        <v>467</v>
      </c>
      <c r="P85" s="456" t="s">
        <v>318</v>
      </c>
      <c r="Q85" s="468">
        <v>26250000</v>
      </c>
      <c r="R85" s="458"/>
      <c r="S85" s="459"/>
      <c r="T85" s="460" t="s">
        <v>181</v>
      </c>
      <c r="U85" s="432">
        <v>27322</v>
      </c>
      <c r="V85" s="433">
        <v>44629</v>
      </c>
      <c r="W85" s="419">
        <v>26250000</v>
      </c>
      <c r="X85" s="419">
        <v>26250000</v>
      </c>
      <c r="Y85" s="689">
        <f>+X85-AA85</f>
        <v>26250000</v>
      </c>
      <c r="Z85" s="689">
        <f>+Q85-X85</f>
        <v>0</v>
      </c>
      <c r="AA85" s="419"/>
      <c r="AB85" s="419">
        <f>(Q85-X85)</f>
        <v>0</v>
      </c>
      <c r="AG85" s="661"/>
    </row>
    <row r="86" spans="2:33" ht="45" outlineLevel="1" x14ac:dyDescent="0.2">
      <c r="B86" s="761"/>
      <c r="C86" s="756"/>
      <c r="D86" s="756"/>
      <c r="E86" s="756"/>
      <c r="F86" s="756"/>
      <c r="G86" s="756"/>
      <c r="H86" s="756"/>
      <c r="I86" s="756"/>
      <c r="J86" s="756"/>
      <c r="K86" s="463">
        <v>43231500</v>
      </c>
      <c r="L86" s="454" t="s">
        <v>229</v>
      </c>
      <c r="M86" s="455">
        <v>44656</v>
      </c>
      <c r="N86" s="455" t="s">
        <v>525</v>
      </c>
      <c r="O86" s="456" t="s">
        <v>467</v>
      </c>
      <c r="P86" s="456" t="s">
        <v>639</v>
      </c>
      <c r="Q86" s="468">
        <f>99750000-4422900-2713760.93</f>
        <v>92613339.069999993</v>
      </c>
      <c r="R86" s="458"/>
      <c r="S86" s="459"/>
      <c r="T86" s="460" t="s">
        <v>181</v>
      </c>
      <c r="U86" s="432">
        <v>36822</v>
      </c>
      <c r="V86" s="433">
        <v>44658</v>
      </c>
      <c r="W86" s="419">
        <v>99750000</v>
      </c>
      <c r="X86" s="419">
        <v>92613339.069999993</v>
      </c>
      <c r="Y86" s="689">
        <f>+X86-AA86</f>
        <v>0</v>
      </c>
      <c r="Z86" s="689">
        <f>+Q86-X86</f>
        <v>0</v>
      </c>
      <c r="AA86" s="419">
        <v>92613339.069999993</v>
      </c>
      <c r="AB86" s="419">
        <f>(Q86-X86)</f>
        <v>0</v>
      </c>
      <c r="AG86" s="661"/>
    </row>
    <row r="87" spans="2:33" ht="45" outlineLevel="1" x14ac:dyDescent="0.2">
      <c r="B87" s="761"/>
      <c r="C87" s="756"/>
      <c r="D87" s="756"/>
      <c r="E87" s="756"/>
      <c r="F87" s="756"/>
      <c r="G87" s="756"/>
      <c r="H87" s="756"/>
      <c r="I87" s="756"/>
      <c r="J87" s="756"/>
      <c r="K87" s="463">
        <v>43231500</v>
      </c>
      <c r="L87" s="494" t="s">
        <v>563</v>
      </c>
      <c r="M87" s="455">
        <v>44656</v>
      </c>
      <c r="N87" s="455" t="s">
        <v>525</v>
      </c>
      <c r="O87" s="456" t="s">
        <v>583</v>
      </c>
      <c r="P87" s="456" t="s">
        <v>639</v>
      </c>
      <c r="Q87" s="468">
        <v>32130000</v>
      </c>
      <c r="R87" s="458"/>
      <c r="S87" s="459"/>
      <c r="T87" s="460" t="s">
        <v>181</v>
      </c>
      <c r="U87" s="432">
        <v>36922</v>
      </c>
      <c r="V87" s="433">
        <v>44658</v>
      </c>
      <c r="W87" s="419">
        <v>32130000</v>
      </c>
      <c r="X87" s="419">
        <v>32130000</v>
      </c>
      <c r="Y87" s="689">
        <f>+X87-AA87</f>
        <v>32130000</v>
      </c>
      <c r="Z87" s="689">
        <f>+Q87-X87</f>
        <v>0</v>
      </c>
      <c r="AA87" s="419"/>
      <c r="AB87" s="419">
        <f>(Q87-X87)</f>
        <v>0</v>
      </c>
      <c r="AG87" s="661"/>
    </row>
    <row r="88" spans="2:33" ht="45" outlineLevel="1" x14ac:dyDescent="0.2">
      <c r="B88" s="761"/>
      <c r="C88" s="756"/>
      <c r="D88" s="756"/>
      <c r="E88" s="756"/>
      <c r="F88" s="756"/>
      <c r="G88" s="756"/>
      <c r="H88" s="756"/>
      <c r="I88" s="756"/>
      <c r="J88" s="756"/>
      <c r="K88" s="463">
        <v>43231500</v>
      </c>
      <c r="L88" s="494" t="s">
        <v>657</v>
      </c>
      <c r="M88" s="455">
        <v>44576</v>
      </c>
      <c r="N88" s="455" t="s">
        <v>582</v>
      </c>
      <c r="O88" s="456" t="s">
        <v>539</v>
      </c>
      <c r="P88" s="456" t="s">
        <v>658</v>
      </c>
      <c r="Q88" s="468">
        <v>310250000</v>
      </c>
      <c r="R88" s="458"/>
      <c r="S88" s="459"/>
      <c r="T88" s="460"/>
      <c r="U88" s="432">
        <v>1022</v>
      </c>
      <c r="V88" s="433">
        <v>44572</v>
      </c>
      <c r="W88" s="419">
        <v>113900000</v>
      </c>
      <c r="X88" s="419">
        <v>310250000</v>
      </c>
      <c r="Y88" s="689">
        <f>+X88-AA88</f>
        <v>1819850</v>
      </c>
      <c r="Z88" s="689">
        <f>+Q88-X88</f>
        <v>0</v>
      </c>
      <c r="AA88" s="419">
        <v>308430150</v>
      </c>
      <c r="AB88" s="419">
        <f>(Q88-X88)</f>
        <v>0</v>
      </c>
      <c r="AG88" s="661"/>
    </row>
    <row r="89" spans="2:33" ht="30" outlineLevel="1" x14ac:dyDescent="0.2">
      <c r="B89" s="440" t="s">
        <v>7</v>
      </c>
      <c r="C89" s="441" t="s">
        <v>20</v>
      </c>
      <c r="D89" s="441" t="s">
        <v>20</v>
      </c>
      <c r="E89" s="441" t="s">
        <v>8</v>
      </c>
      <c r="F89" s="441" t="s">
        <v>12</v>
      </c>
      <c r="G89" s="441" t="s">
        <v>16</v>
      </c>
      <c r="H89" s="441"/>
      <c r="I89" s="441"/>
      <c r="J89" s="442"/>
      <c r="K89" s="440"/>
      <c r="L89" s="642" t="s">
        <v>143</v>
      </c>
      <c r="M89" s="443"/>
      <c r="N89" s="443"/>
      <c r="O89" s="444"/>
      <c r="P89" s="444"/>
      <c r="Q89" s="620">
        <f>+Q90+Q92</f>
        <v>12000000</v>
      </c>
      <c r="R89" s="620">
        <f t="shared" ref="R89:S89" si="97">+R90+R92</f>
        <v>0</v>
      </c>
      <c r="S89" s="620">
        <f t="shared" si="97"/>
        <v>0</v>
      </c>
      <c r="T89" s="445"/>
      <c r="U89" s="662"/>
      <c r="V89" s="665"/>
      <c r="W89" s="684">
        <f t="shared" ref="W89:AB89" si="98">+W90+W92</f>
        <v>12000000</v>
      </c>
      <c r="X89" s="684">
        <f t="shared" si="98"/>
        <v>12000000</v>
      </c>
      <c r="Y89" s="684">
        <f>+Y90+Y92</f>
        <v>12000000</v>
      </c>
      <c r="Z89" s="684">
        <f>+Z90+Z92</f>
        <v>0</v>
      </c>
      <c r="AA89" s="684">
        <f t="shared" si="98"/>
        <v>0</v>
      </c>
      <c r="AB89" s="684">
        <f t="shared" si="98"/>
        <v>0</v>
      </c>
      <c r="AG89" s="661"/>
    </row>
    <row r="90" spans="2:33" ht="60" customHeight="1" outlineLevel="1" x14ac:dyDescent="0.2">
      <c r="B90" s="446" t="s">
        <v>7</v>
      </c>
      <c r="C90" s="447" t="s">
        <v>20</v>
      </c>
      <c r="D90" s="447" t="s">
        <v>20</v>
      </c>
      <c r="E90" s="447" t="s">
        <v>8</v>
      </c>
      <c r="F90" s="447" t="s">
        <v>12</v>
      </c>
      <c r="G90" s="447" t="s">
        <v>16</v>
      </c>
      <c r="H90" s="447" t="s">
        <v>20</v>
      </c>
      <c r="I90" s="447"/>
      <c r="J90" s="449"/>
      <c r="K90" s="446"/>
      <c r="L90" s="643" t="s">
        <v>141</v>
      </c>
      <c r="M90" s="450"/>
      <c r="N90" s="450"/>
      <c r="O90" s="451"/>
      <c r="P90" s="451"/>
      <c r="Q90" s="621">
        <f>+Q91</f>
        <v>0</v>
      </c>
      <c r="R90" s="621">
        <f t="shared" ref="R90:S90" si="99">+R91</f>
        <v>0</v>
      </c>
      <c r="S90" s="621">
        <f t="shared" si="99"/>
        <v>0</v>
      </c>
      <c r="T90" s="467"/>
      <c r="U90" s="662"/>
      <c r="V90" s="665"/>
      <c r="W90" s="684">
        <f t="shared" ref="W90:AB90" si="100">+W91</f>
        <v>0</v>
      </c>
      <c r="X90" s="684">
        <f t="shared" si="100"/>
        <v>0</v>
      </c>
      <c r="Y90" s="684">
        <f>+Y91</f>
        <v>0</v>
      </c>
      <c r="Z90" s="684">
        <f>+Z91</f>
        <v>0</v>
      </c>
      <c r="AA90" s="684">
        <f t="shared" si="100"/>
        <v>0</v>
      </c>
      <c r="AB90" s="684">
        <f t="shared" si="100"/>
        <v>0</v>
      </c>
      <c r="AG90" s="661"/>
    </row>
    <row r="91" spans="2:33" outlineLevel="1" x14ac:dyDescent="0.2">
      <c r="B91" s="758"/>
      <c r="C91" s="754"/>
      <c r="D91" s="754"/>
      <c r="E91" s="754"/>
      <c r="F91" s="754"/>
      <c r="G91" s="754"/>
      <c r="H91" s="754"/>
      <c r="I91" s="754"/>
      <c r="J91" s="754"/>
      <c r="K91" s="463">
        <v>81141500</v>
      </c>
      <c r="L91" s="454" t="s">
        <v>259</v>
      </c>
      <c r="M91" s="455">
        <v>44682</v>
      </c>
      <c r="N91" s="455" t="s">
        <v>617</v>
      </c>
      <c r="O91" s="456" t="s">
        <v>294</v>
      </c>
      <c r="P91" s="456" t="s">
        <v>318</v>
      </c>
      <c r="Q91" s="468">
        <v>0</v>
      </c>
      <c r="R91" s="458"/>
      <c r="S91" s="459"/>
      <c r="T91" s="460" t="s">
        <v>268</v>
      </c>
      <c r="U91" s="432"/>
      <c r="V91" s="433"/>
      <c r="W91" s="419"/>
      <c r="X91" s="419"/>
      <c r="Y91" s="689">
        <f>+X91-AA91</f>
        <v>0</v>
      </c>
      <c r="Z91" s="689">
        <f>+Q91-X91</f>
        <v>0</v>
      </c>
      <c r="AA91" s="419"/>
      <c r="AB91" s="419">
        <f>(Q91-X91)</f>
        <v>0</v>
      </c>
      <c r="AG91" s="661"/>
    </row>
    <row r="92" spans="2:33" ht="28.5" customHeight="1" outlineLevel="1" x14ac:dyDescent="0.2">
      <c r="B92" s="446" t="s">
        <v>7</v>
      </c>
      <c r="C92" s="447" t="s">
        <v>20</v>
      </c>
      <c r="D92" s="447" t="s">
        <v>20</v>
      </c>
      <c r="E92" s="447" t="s">
        <v>8</v>
      </c>
      <c r="F92" s="447" t="s">
        <v>12</v>
      </c>
      <c r="G92" s="447" t="s">
        <v>16</v>
      </c>
      <c r="H92" s="447" t="s">
        <v>23</v>
      </c>
      <c r="I92" s="447"/>
      <c r="J92" s="449"/>
      <c r="K92" s="446"/>
      <c r="L92" s="643" t="s">
        <v>142</v>
      </c>
      <c r="M92" s="450"/>
      <c r="N92" s="450"/>
      <c r="O92" s="451"/>
      <c r="P92" s="451"/>
      <c r="Q92" s="621">
        <f>+Q93</f>
        <v>12000000</v>
      </c>
      <c r="R92" s="621">
        <f t="shared" ref="R92:S92" si="101">+R93</f>
        <v>0</v>
      </c>
      <c r="S92" s="621">
        <f t="shared" si="101"/>
        <v>0</v>
      </c>
      <c r="T92" s="467"/>
      <c r="U92" s="662"/>
      <c r="V92" s="665"/>
      <c r="W92" s="684">
        <f t="shared" ref="W92:AB92" si="102">+W93</f>
        <v>12000000</v>
      </c>
      <c r="X92" s="684">
        <f t="shared" si="102"/>
        <v>12000000</v>
      </c>
      <c r="Y92" s="684">
        <f>+Y93</f>
        <v>12000000</v>
      </c>
      <c r="Z92" s="684">
        <f>+Z93</f>
        <v>0</v>
      </c>
      <c r="AA92" s="684">
        <f t="shared" si="102"/>
        <v>0</v>
      </c>
      <c r="AB92" s="684">
        <f t="shared" si="102"/>
        <v>0</v>
      </c>
      <c r="AG92" s="661"/>
    </row>
    <row r="93" spans="2:33" ht="120" outlineLevel="1" x14ac:dyDescent="0.2">
      <c r="B93" s="491"/>
      <c r="C93" s="492"/>
      <c r="D93" s="492"/>
      <c r="E93" s="492"/>
      <c r="F93" s="492"/>
      <c r="G93" s="492"/>
      <c r="H93" s="492"/>
      <c r="I93" s="492"/>
      <c r="J93" s="495"/>
      <c r="K93" s="453" t="s">
        <v>534</v>
      </c>
      <c r="L93" s="454" t="s">
        <v>280</v>
      </c>
      <c r="M93" s="455" t="s">
        <v>530</v>
      </c>
      <c r="N93" s="455" t="s">
        <v>535</v>
      </c>
      <c r="O93" s="456" t="s">
        <v>539</v>
      </c>
      <c r="P93" s="456" t="s">
        <v>532</v>
      </c>
      <c r="Q93" s="468">
        <v>12000000</v>
      </c>
      <c r="R93" s="458"/>
      <c r="S93" s="459"/>
      <c r="T93" s="460" t="s">
        <v>613</v>
      </c>
      <c r="U93" s="432">
        <v>40822</v>
      </c>
      <c r="V93" s="433">
        <v>44677</v>
      </c>
      <c r="W93" s="419">
        <v>12000000</v>
      </c>
      <c r="X93" s="419">
        <v>12000000</v>
      </c>
      <c r="Y93" s="689">
        <f>+X93-AA93</f>
        <v>12000000</v>
      </c>
      <c r="Z93" s="689">
        <f>+Q93-X93</f>
        <v>0</v>
      </c>
      <c r="AA93" s="419"/>
      <c r="AB93" s="419">
        <f>(Q93-X93)</f>
        <v>0</v>
      </c>
      <c r="AG93" s="661"/>
    </row>
    <row r="94" spans="2:33" ht="15" customHeight="1" outlineLevel="1" x14ac:dyDescent="0.2">
      <c r="B94" s="426" t="s">
        <v>7</v>
      </c>
      <c r="C94" s="427" t="s">
        <v>20</v>
      </c>
      <c r="D94" s="427" t="s">
        <v>20</v>
      </c>
      <c r="E94" s="427" t="s">
        <v>20</v>
      </c>
      <c r="F94" s="427"/>
      <c r="G94" s="427"/>
      <c r="H94" s="427"/>
      <c r="I94" s="427"/>
      <c r="J94" s="428"/>
      <c r="K94" s="426"/>
      <c r="L94" s="640" t="s">
        <v>75</v>
      </c>
      <c r="M94" s="429"/>
      <c r="N94" s="429"/>
      <c r="O94" s="430"/>
      <c r="P94" s="430"/>
      <c r="Q94" s="618">
        <f>+Q95+Q109+Q115+Q168+Q184</f>
        <v>3841205415</v>
      </c>
      <c r="R94" s="618">
        <f t="shared" ref="R94:S94" si="103">+R95+R109+R115+R168+R184</f>
        <v>0</v>
      </c>
      <c r="S94" s="618">
        <f t="shared" si="103"/>
        <v>541654943</v>
      </c>
      <c r="T94" s="471"/>
      <c r="U94" s="662"/>
      <c r="V94" s="665"/>
      <c r="W94" s="684">
        <f t="shared" ref="W94:AB94" si="104">+W95+W109+W115+W168+W184</f>
        <v>25990333782</v>
      </c>
      <c r="X94" s="684">
        <f t="shared" si="104"/>
        <v>1064696983</v>
      </c>
      <c r="Y94" s="684">
        <f>+Y95+Y109+Y115+Y168+Y184</f>
        <v>165432660</v>
      </c>
      <c r="Z94" s="684">
        <f>+Z95+Z109+Z115+Z168+Z184</f>
        <v>2771675792</v>
      </c>
      <c r="AA94" s="684">
        <f t="shared" si="104"/>
        <v>899264323</v>
      </c>
      <c r="AB94" s="684">
        <f t="shared" si="104"/>
        <v>2771675792</v>
      </c>
      <c r="AC94" s="674">
        <f>+AA94-'[1]Sheet1 (2)'!$M$64</f>
        <v>39171806</v>
      </c>
      <c r="AG94" s="661"/>
    </row>
    <row r="95" spans="2:33" ht="45" customHeight="1" outlineLevel="1" x14ac:dyDescent="0.2">
      <c r="B95" s="434" t="s">
        <v>7</v>
      </c>
      <c r="C95" s="435" t="s">
        <v>20</v>
      </c>
      <c r="D95" s="435" t="s">
        <v>20</v>
      </c>
      <c r="E95" s="435" t="s">
        <v>20</v>
      </c>
      <c r="F95" s="435" t="s">
        <v>14</v>
      </c>
      <c r="G95" s="435"/>
      <c r="H95" s="435"/>
      <c r="I95" s="435"/>
      <c r="J95" s="436"/>
      <c r="K95" s="434"/>
      <c r="L95" s="641" t="s">
        <v>81</v>
      </c>
      <c r="M95" s="437"/>
      <c r="N95" s="437"/>
      <c r="O95" s="438"/>
      <c r="P95" s="438"/>
      <c r="Q95" s="619">
        <f>+Q96+Q100+Q103</f>
        <v>562461903</v>
      </c>
      <c r="R95" s="619">
        <f t="shared" ref="R95:S95" si="105">+R96+R100+R103</f>
        <v>0</v>
      </c>
      <c r="S95" s="619">
        <f t="shared" si="105"/>
        <v>510461903</v>
      </c>
      <c r="T95" s="439"/>
      <c r="U95" s="662"/>
      <c r="V95" s="665"/>
      <c r="W95" s="684">
        <f t="shared" ref="W95:AB95" si="106">+W96+W100+W103</f>
        <v>216891011</v>
      </c>
      <c r="X95" s="684">
        <f t="shared" si="106"/>
        <v>216891011</v>
      </c>
      <c r="Y95" s="684">
        <f>+Y96+Y100+Y103</f>
        <v>4</v>
      </c>
      <c r="Z95" s="684">
        <f>+Z96+Z100+Z103</f>
        <v>345570892</v>
      </c>
      <c r="AA95" s="684">
        <f t="shared" si="106"/>
        <v>216891007</v>
      </c>
      <c r="AB95" s="684">
        <f t="shared" si="106"/>
        <v>345570892</v>
      </c>
      <c r="AC95" s="674"/>
      <c r="AG95" s="661"/>
    </row>
    <row r="96" spans="2:33" ht="15" customHeight="1" outlineLevel="1" x14ac:dyDescent="0.2">
      <c r="B96" s="440" t="s">
        <v>7</v>
      </c>
      <c r="C96" s="441" t="s">
        <v>20</v>
      </c>
      <c r="D96" s="441" t="s">
        <v>20</v>
      </c>
      <c r="E96" s="441" t="s">
        <v>20</v>
      </c>
      <c r="F96" s="441" t="s">
        <v>14</v>
      </c>
      <c r="G96" s="441" t="s">
        <v>12</v>
      </c>
      <c r="H96" s="441"/>
      <c r="I96" s="441"/>
      <c r="J96" s="442"/>
      <c r="K96" s="440"/>
      <c r="L96" s="642" t="s">
        <v>82</v>
      </c>
      <c r="M96" s="443"/>
      <c r="N96" s="443"/>
      <c r="O96" s="444"/>
      <c r="P96" s="444"/>
      <c r="Q96" s="620">
        <f>SUM(Q97:Q99)</f>
        <v>39000000</v>
      </c>
      <c r="R96" s="620">
        <f t="shared" ref="R96:S96" si="107">SUM(R97:R99)</f>
        <v>0</v>
      </c>
      <c r="S96" s="620">
        <f t="shared" si="107"/>
        <v>0</v>
      </c>
      <c r="T96" s="445"/>
      <c r="U96" s="662"/>
      <c r="V96" s="665"/>
      <c r="W96" s="684">
        <f t="shared" ref="W96:AB96" si="108">SUM(W97:W99)</f>
        <v>32590000</v>
      </c>
      <c r="X96" s="684">
        <f t="shared" si="108"/>
        <v>32590000</v>
      </c>
      <c r="Y96" s="684">
        <f>SUM(Y97:Y99)</f>
        <v>0</v>
      </c>
      <c r="Z96" s="684">
        <f>SUM(Z97:Z99)</f>
        <v>6410000</v>
      </c>
      <c r="AA96" s="684">
        <f t="shared" si="108"/>
        <v>32590000</v>
      </c>
      <c r="AB96" s="684">
        <f t="shared" si="108"/>
        <v>6410000</v>
      </c>
      <c r="AC96" s="674">
        <f>+AA96-'[1]Sheet1 (2)'!$M$66</f>
        <v>0</v>
      </c>
      <c r="AG96" s="661"/>
    </row>
    <row r="97" spans="2:33" ht="60" outlineLevel="1" x14ac:dyDescent="0.2">
      <c r="B97" s="758"/>
      <c r="C97" s="754"/>
      <c r="D97" s="754"/>
      <c r="E97" s="754"/>
      <c r="F97" s="754"/>
      <c r="G97" s="754"/>
      <c r="H97" s="754"/>
      <c r="I97" s="754"/>
      <c r="J97" s="754"/>
      <c r="K97" s="453" t="s">
        <v>383</v>
      </c>
      <c r="L97" s="454" t="s">
        <v>245</v>
      </c>
      <c r="M97" s="455">
        <v>44582</v>
      </c>
      <c r="N97" s="455" t="s">
        <v>469</v>
      </c>
      <c r="O97" s="456" t="s">
        <v>381</v>
      </c>
      <c r="P97" s="456" t="s">
        <v>676</v>
      </c>
      <c r="Q97" s="468">
        <v>28000000</v>
      </c>
      <c r="R97" s="458"/>
      <c r="S97" s="459"/>
      <c r="T97" s="460" t="s">
        <v>574</v>
      </c>
      <c r="U97" s="432">
        <v>3522</v>
      </c>
      <c r="V97" s="433">
        <v>44573</v>
      </c>
      <c r="W97" s="419">
        <v>28000000</v>
      </c>
      <c r="X97" s="419">
        <v>28000000</v>
      </c>
      <c r="Y97" s="689">
        <f>+X97-AA97</f>
        <v>0</v>
      </c>
      <c r="Z97" s="689">
        <f>+Q97-X97</f>
        <v>0</v>
      </c>
      <c r="AA97" s="419">
        <v>28000000</v>
      </c>
      <c r="AB97" s="419">
        <f>(Q97-X97)</f>
        <v>0</v>
      </c>
      <c r="AG97" s="661"/>
    </row>
    <row r="98" spans="2:33" ht="60" outlineLevel="1" x14ac:dyDescent="0.2">
      <c r="B98" s="761"/>
      <c r="C98" s="756"/>
      <c r="D98" s="756"/>
      <c r="E98" s="756"/>
      <c r="F98" s="756"/>
      <c r="G98" s="756"/>
      <c r="H98" s="756"/>
      <c r="I98" s="756"/>
      <c r="J98" s="756"/>
      <c r="K98" s="453" t="s">
        <v>383</v>
      </c>
      <c r="L98" s="454" t="s">
        <v>246</v>
      </c>
      <c r="M98" s="455">
        <v>44582</v>
      </c>
      <c r="N98" s="455" t="s">
        <v>469</v>
      </c>
      <c r="O98" s="456" t="s">
        <v>381</v>
      </c>
      <c r="P98" s="456" t="s">
        <v>318</v>
      </c>
      <c r="Q98" s="468">
        <v>4000000</v>
      </c>
      <c r="R98" s="458"/>
      <c r="S98" s="459"/>
      <c r="T98" s="460" t="s">
        <v>574</v>
      </c>
      <c r="U98" s="432">
        <v>3422</v>
      </c>
      <c r="V98" s="433">
        <v>44573</v>
      </c>
      <c r="W98" s="419">
        <v>4000000</v>
      </c>
      <c r="X98" s="419">
        <v>4000000</v>
      </c>
      <c r="Y98" s="689">
        <f>+X98-AA98</f>
        <v>0</v>
      </c>
      <c r="Z98" s="689">
        <f>+Q98-X98</f>
        <v>0</v>
      </c>
      <c r="AA98" s="419">
        <v>4000000</v>
      </c>
      <c r="AB98" s="419">
        <f>(Q98-X98)</f>
        <v>0</v>
      </c>
      <c r="AG98" s="661"/>
    </row>
    <row r="99" spans="2:33" outlineLevel="1" x14ac:dyDescent="0.2">
      <c r="B99" s="761"/>
      <c r="C99" s="756"/>
      <c r="D99" s="756"/>
      <c r="E99" s="756"/>
      <c r="F99" s="756"/>
      <c r="G99" s="756"/>
      <c r="H99" s="756"/>
      <c r="I99" s="756"/>
      <c r="J99" s="756"/>
      <c r="K99" s="463"/>
      <c r="L99" s="454" t="s">
        <v>248</v>
      </c>
      <c r="M99" s="455" t="s">
        <v>375</v>
      </c>
      <c r="N99" s="455" t="s">
        <v>375</v>
      </c>
      <c r="O99" s="455" t="s">
        <v>375</v>
      </c>
      <c r="P99" s="455" t="s">
        <v>375</v>
      </c>
      <c r="Q99" s="468">
        <v>7000000</v>
      </c>
      <c r="R99" s="458"/>
      <c r="S99" s="459"/>
      <c r="T99" s="460"/>
      <c r="U99" s="432">
        <v>19722</v>
      </c>
      <c r="V99" s="433">
        <v>44608</v>
      </c>
      <c r="W99" s="419">
        <v>590000</v>
      </c>
      <c r="X99" s="419">
        <v>590000</v>
      </c>
      <c r="Y99" s="689">
        <f>+X99-AA99</f>
        <v>0</v>
      </c>
      <c r="Z99" s="689">
        <f>+Q99-X99</f>
        <v>6410000</v>
      </c>
      <c r="AA99" s="419">
        <v>590000</v>
      </c>
      <c r="AB99" s="419">
        <f>(Q99-X99)</f>
        <v>6410000</v>
      </c>
      <c r="AG99" s="661"/>
    </row>
    <row r="100" spans="2:33" ht="15" customHeight="1" outlineLevel="1" x14ac:dyDescent="0.2">
      <c r="B100" s="440" t="s">
        <v>7</v>
      </c>
      <c r="C100" s="441" t="s">
        <v>20</v>
      </c>
      <c r="D100" s="441" t="s">
        <v>20</v>
      </c>
      <c r="E100" s="441" t="s">
        <v>20</v>
      </c>
      <c r="F100" s="441" t="s">
        <v>14</v>
      </c>
      <c r="G100" s="441" t="s">
        <v>16</v>
      </c>
      <c r="H100" s="441"/>
      <c r="I100" s="441"/>
      <c r="J100" s="442"/>
      <c r="K100" s="440"/>
      <c r="L100" s="642" t="s">
        <v>83</v>
      </c>
      <c r="M100" s="443"/>
      <c r="N100" s="443"/>
      <c r="O100" s="444"/>
      <c r="P100" s="444"/>
      <c r="Q100" s="620">
        <f>SUM(Q101:Q102)</f>
        <v>13000000</v>
      </c>
      <c r="R100" s="620">
        <f t="shared" ref="R100:S100" si="109">SUM(R101:R102)</f>
        <v>0</v>
      </c>
      <c r="S100" s="620">
        <f t="shared" si="109"/>
        <v>0</v>
      </c>
      <c r="T100" s="445"/>
      <c r="U100" s="662"/>
      <c r="V100" s="665"/>
      <c r="W100" s="684">
        <f t="shared" ref="W100:AB100" si="110">SUM(W101:W102)</f>
        <v>10000000</v>
      </c>
      <c r="X100" s="684">
        <f t="shared" si="110"/>
        <v>10000000</v>
      </c>
      <c r="Y100" s="684">
        <f>SUM(Y101:Y102)</f>
        <v>0</v>
      </c>
      <c r="Z100" s="684">
        <f>SUM(Z101:Z102)</f>
        <v>3000000</v>
      </c>
      <c r="AA100" s="684">
        <f t="shared" si="110"/>
        <v>10000000</v>
      </c>
      <c r="AB100" s="684">
        <f t="shared" si="110"/>
        <v>3000000</v>
      </c>
      <c r="AC100" s="674">
        <f>+AA100-'[1]Sheet1 (2)'!$M$67</f>
        <v>0</v>
      </c>
      <c r="AG100" s="661"/>
    </row>
    <row r="101" spans="2:33" ht="15" customHeight="1" outlineLevel="1" x14ac:dyDescent="0.2">
      <c r="B101" s="758"/>
      <c r="C101" s="754"/>
      <c r="D101" s="754"/>
      <c r="E101" s="754"/>
      <c r="F101" s="754"/>
      <c r="G101" s="754"/>
      <c r="H101" s="754"/>
      <c r="I101" s="754"/>
      <c r="J101" s="754"/>
      <c r="K101" s="463">
        <v>78102200</v>
      </c>
      <c r="L101" s="454" t="s">
        <v>247</v>
      </c>
      <c r="M101" s="455">
        <v>44602</v>
      </c>
      <c r="N101" s="455" t="s">
        <v>469</v>
      </c>
      <c r="O101" s="456" t="s">
        <v>381</v>
      </c>
      <c r="P101" s="456" t="s">
        <v>318</v>
      </c>
      <c r="Q101" s="468">
        <v>10000000</v>
      </c>
      <c r="R101" s="458" t="s">
        <v>386</v>
      </c>
      <c r="S101" s="459"/>
      <c r="T101" s="460" t="s">
        <v>271</v>
      </c>
      <c r="U101" s="432">
        <v>23022</v>
      </c>
      <c r="V101" s="433">
        <v>44622</v>
      </c>
      <c r="W101" s="419">
        <v>10000000</v>
      </c>
      <c r="X101" s="419">
        <v>10000000</v>
      </c>
      <c r="Y101" s="689">
        <f>+X101-AA101</f>
        <v>0</v>
      </c>
      <c r="Z101" s="689">
        <f>+Q101-X101</f>
        <v>0</v>
      </c>
      <c r="AA101" s="419">
        <v>10000000</v>
      </c>
      <c r="AB101" s="419">
        <f>(Q101-X101)</f>
        <v>0</v>
      </c>
      <c r="AG101" s="661"/>
    </row>
    <row r="102" spans="2:33" outlineLevel="1" x14ac:dyDescent="0.2">
      <c r="B102" s="761"/>
      <c r="C102" s="756"/>
      <c r="D102" s="756"/>
      <c r="E102" s="756"/>
      <c r="F102" s="756"/>
      <c r="G102" s="756"/>
      <c r="H102" s="756"/>
      <c r="I102" s="756"/>
      <c r="J102" s="756"/>
      <c r="K102" s="463"/>
      <c r="L102" s="454" t="s">
        <v>249</v>
      </c>
      <c r="M102" s="455"/>
      <c r="N102" s="455"/>
      <c r="O102" s="456"/>
      <c r="P102" s="455" t="s">
        <v>375</v>
      </c>
      <c r="Q102" s="468">
        <v>3000000</v>
      </c>
      <c r="R102" s="458"/>
      <c r="S102" s="459"/>
      <c r="T102" s="460"/>
      <c r="U102" s="432"/>
      <c r="V102" s="433"/>
      <c r="W102" s="419"/>
      <c r="X102" s="419"/>
      <c r="Y102" s="689">
        <f>+X102-AA102</f>
        <v>0</v>
      </c>
      <c r="Z102" s="689">
        <f>+Q102-X102</f>
        <v>3000000</v>
      </c>
      <c r="AA102" s="419"/>
      <c r="AB102" s="419">
        <f>(Q102-X102)</f>
        <v>3000000</v>
      </c>
      <c r="AG102" s="661"/>
    </row>
    <row r="103" spans="2:33" ht="30" customHeight="1" outlineLevel="1" x14ac:dyDescent="0.2">
      <c r="B103" s="440" t="s">
        <v>7</v>
      </c>
      <c r="C103" s="441" t="s">
        <v>20</v>
      </c>
      <c r="D103" s="441" t="s">
        <v>20</v>
      </c>
      <c r="E103" s="441" t="s">
        <v>20</v>
      </c>
      <c r="F103" s="441" t="s">
        <v>14</v>
      </c>
      <c r="G103" s="441" t="s">
        <v>17</v>
      </c>
      <c r="H103" s="441"/>
      <c r="I103" s="441"/>
      <c r="J103" s="442"/>
      <c r="K103" s="440"/>
      <c r="L103" s="642" t="s">
        <v>84</v>
      </c>
      <c r="M103" s="443"/>
      <c r="N103" s="443"/>
      <c r="O103" s="444"/>
      <c r="P103" s="444"/>
      <c r="Q103" s="620">
        <f>SUM(Q104:Q104)</f>
        <v>510461903</v>
      </c>
      <c r="R103" s="620">
        <f t="shared" ref="R103:S103" si="111">SUM(R104:R104)</f>
        <v>0</v>
      </c>
      <c r="S103" s="620">
        <f t="shared" si="111"/>
        <v>510461903</v>
      </c>
      <c r="T103" s="445"/>
      <c r="U103" s="662"/>
      <c r="V103" s="665"/>
      <c r="W103" s="684">
        <f t="shared" ref="W103:AB103" si="112">SUM(W104:W104)</f>
        <v>174301011</v>
      </c>
      <c r="X103" s="684">
        <f t="shared" si="112"/>
        <v>174301011</v>
      </c>
      <c r="Y103" s="684">
        <f>SUM(Y104:Y104)</f>
        <v>4</v>
      </c>
      <c r="Z103" s="684">
        <f>SUM(Z104:Z104)</f>
        <v>336160892</v>
      </c>
      <c r="AA103" s="684">
        <f t="shared" si="112"/>
        <v>174301007</v>
      </c>
      <c r="AB103" s="684">
        <f t="shared" si="112"/>
        <v>336160892</v>
      </c>
      <c r="AC103" s="674">
        <f>+AA103-'[1]Sheet1 (2)'!$M$68</f>
        <v>0</v>
      </c>
      <c r="AG103" s="661"/>
    </row>
    <row r="104" spans="2:33" ht="30" customHeight="1" outlineLevel="1" x14ac:dyDescent="0.2">
      <c r="B104" s="446" t="s">
        <v>7</v>
      </c>
      <c r="C104" s="447" t="s">
        <v>20</v>
      </c>
      <c r="D104" s="447" t="s">
        <v>20</v>
      </c>
      <c r="E104" s="447" t="s">
        <v>20</v>
      </c>
      <c r="F104" s="447" t="s">
        <v>14</v>
      </c>
      <c r="G104" s="447" t="s">
        <v>17</v>
      </c>
      <c r="H104" s="447" t="s">
        <v>8</v>
      </c>
      <c r="I104" s="447"/>
      <c r="J104" s="449"/>
      <c r="K104" s="446"/>
      <c r="L104" s="643" t="s">
        <v>85</v>
      </c>
      <c r="M104" s="450"/>
      <c r="N104" s="450"/>
      <c r="O104" s="451"/>
      <c r="P104" s="451"/>
      <c r="Q104" s="621">
        <f>SUM(Q105:Q106)</f>
        <v>510461903</v>
      </c>
      <c r="R104" s="621">
        <f t="shared" ref="R104:S104" si="113">SUM(R105:R106)</f>
        <v>0</v>
      </c>
      <c r="S104" s="621">
        <f t="shared" si="113"/>
        <v>510461903</v>
      </c>
      <c r="T104" s="467"/>
      <c r="U104" s="662"/>
      <c r="V104" s="665"/>
      <c r="W104" s="684">
        <f t="shared" ref="W104" si="114">SUM(W105:W106)</f>
        <v>174301011</v>
      </c>
      <c r="X104" s="684">
        <f t="shared" ref="X104" si="115">SUM(X105:X106)</f>
        <v>174301011</v>
      </c>
      <c r="Y104" s="684">
        <f t="shared" ref="Y104" si="116">SUM(Y105:Y106)</f>
        <v>4</v>
      </c>
      <c r="Z104" s="684">
        <f t="shared" ref="Z104" si="117">SUM(Z105:Z106)</f>
        <v>336160892</v>
      </c>
      <c r="AA104" s="684">
        <f t="shared" ref="AA104" si="118">SUM(AA105:AA106)</f>
        <v>174301007</v>
      </c>
      <c r="AB104" s="684">
        <f t="shared" ref="AB104" si="119">SUM(AB105:AB106)</f>
        <v>336160892</v>
      </c>
      <c r="AG104" s="661"/>
    </row>
    <row r="105" spans="2:33" outlineLevel="1" x14ac:dyDescent="0.2">
      <c r="B105" s="758"/>
      <c r="C105" s="754"/>
      <c r="D105" s="754"/>
      <c r="E105" s="754"/>
      <c r="F105" s="754"/>
      <c r="G105" s="754"/>
      <c r="H105" s="754"/>
      <c r="I105" s="754"/>
      <c r="J105" s="754"/>
      <c r="K105" s="463">
        <v>83101800</v>
      </c>
      <c r="L105" s="454" t="s">
        <v>250</v>
      </c>
      <c r="M105" s="455" t="s">
        <v>578</v>
      </c>
      <c r="N105" s="455" t="s">
        <v>582</v>
      </c>
      <c r="O105" s="456" t="s">
        <v>381</v>
      </c>
      <c r="P105" s="455" t="s">
        <v>375</v>
      </c>
      <c r="Q105" s="468">
        <f>337000000+173461903</f>
        <v>510461903</v>
      </c>
      <c r="R105" s="458"/>
      <c r="S105" s="496">
        <f>+Q105+R105</f>
        <v>510461903</v>
      </c>
      <c r="T105" s="460" t="s">
        <v>271</v>
      </c>
      <c r="U105" s="748" t="s">
        <v>677</v>
      </c>
      <c r="V105" s="748" t="s">
        <v>678</v>
      </c>
      <c r="W105" s="419">
        <v>174301011</v>
      </c>
      <c r="X105" s="419">
        <v>174301011</v>
      </c>
      <c r="Y105" s="689">
        <f>+X105-AA105</f>
        <v>4</v>
      </c>
      <c r="Z105" s="689">
        <f>+Q105-X105</f>
        <v>336160892</v>
      </c>
      <c r="AA105" s="419">
        <v>174301007</v>
      </c>
      <c r="AB105" s="419">
        <f>(Q105-X105)</f>
        <v>336160892</v>
      </c>
      <c r="AG105" s="661"/>
    </row>
    <row r="106" spans="2:33" outlineLevel="1" x14ac:dyDescent="0.2">
      <c r="B106" s="761"/>
      <c r="C106" s="756"/>
      <c r="D106" s="756"/>
      <c r="E106" s="756"/>
      <c r="F106" s="756"/>
      <c r="G106" s="756"/>
      <c r="H106" s="756"/>
      <c r="I106" s="756"/>
      <c r="J106" s="756"/>
      <c r="K106" s="463">
        <v>83101600</v>
      </c>
      <c r="L106" s="454" t="s">
        <v>251</v>
      </c>
      <c r="M106" s="455">
        <v>44563</v>
      </c>
      <c r="N106" s="455" t="s">
        <v>582</v>
      </c>
      <c r="O106" s="456" t="s">
        <v>381</v>
      </c>
      <c r="P106" s="455" t="s">
        <v>375</v>
      </c>
      <c r="Q106" s="468"/>
      <c r="R106" s="458"/>
      <c r="S106" s="496">
        <f>+Q106+R106</f>
        <v>0</v>
      </c>
      <c r="T106" s="460" t="s">
        <v>271</v>
      </c>
      <c r="U106" s="749"/>
      <c r="V106" s="749"/>
      <c r="W106" s="419"/>
      <c r="X106" s="419"/>
      <c r="Y106" s="689">
        <f>+X106-AA106</f>
        <v>0</v>
      </c>
      <c r="Z106" s="689">
        <f>+Q106-X106</f>
        <v>0</v>
      </c>
      <c r="AA106" s="419"/>
      <c r="AB106" s="419">
        <f>(Q106-X106)</f>
        <v>0</v>
      </c>
      <c r="AG106" s="661"/>
    </row>
    <row r="107" spans="2:33" ht="30" customHeight="1" outlineLevel="1" x14ac:dyDescent="0.2">
      <c r="B107" s="434" t="s">
        <v>7</v>
      </c>
      <c r="C107" s="435" t="s">
        <v>20</v>
      </c>
      <c r="D107" s="435" t="s">
        <v>20</v>
      </c>
      <c r="E107" s="435" t="s">
        <v>20</v>
      </c>
      <c r="F107" s="435" t="s">
        <v>15</v>
      </c>
      <c r="G107" s="435"/>
      <c r="H107" s="435"/>
      <c r="I107" s="435"/>
      <c r="J107" s="436"/>
      <c r="K107" s="434">
        <v>83101600</v>
      </c>
      <c r="L107" s="641" t="s">
        <v>86</v>
      </c>
      <c r="M107" s="437"/>
      <c r="N107" s="437"/>
      <c r="O107" s="438"/>
      <c r="P107" s="438"/>
      <c r="Q107" s="619">
        <f t="shared" ref="Q107:S109" si="120">+Q108</f>
        <v>1862000000</v>
      </c>
      <c r="R107" s="619">
        <f t="shared" si="120"/>
        <v>0</v>
      </c>
      <c r="S107" s="619">
        <f t="shared" si="120"/>
        <v>0</v>
      </c>
      <c r="T107" s="439"/>
      <c r="U107" s="662"/>
      <c r="V107" s="665"/>
      <c r="W107" s="684">
        <f t="shared" ref="W107:AB109" si="121">+W108</f>
        <v>0</v>
      </c>
      <c r="X107" s="684">
        <f t="shared" si="121"/>
        <v>0</v>
      </c>
      <c r="Y107" s="684">
        <f t="shared" ref="Y107:Z109" si="122">+Y108</f>
        <v>0</v>
      </c>
      <c r="Z107" s="684">
        <f t="shared" si="122"/>
        <v>1862000000</v>
      </c>
      <c r="AA107" s="684">
        <f t="shared" si="121"/>
        <v>0</v>
      </c>
      <c r="AB107" s="684">
        <f t="shared" si="121"/>
        <v>1862000000</v>
      </c>
      <c r="AG107" s="661"/>
    </row>
    <row r="108" spans="2:33" ht="15" customHeight="1" outlineLevel="1" x14ac:dyDescent="0.2">
      <c r="B108" s="440" t="s">
        <v>7</v>
      </c>
      <c r="C108" s="441" t="s">
        <v>20</v>
      </c>
      <c r="D108" s="441" t="s">
        <v>20</v>
      </c>
      <c r="E108" s="441" t="s">
        <v>20</v>
      </c>
      <c r="F108" s="441" t="s">
        <v>15</v>
      </c>
      <c r="G108" s="441" t="s">
        <v>9</v>
      </c>
      <c r="H108" s="441"/>
      <c r="I108" s="441"/>
      <c r="J108" s="442"/>
      <c r="K108" s="440"/>
      <c r="L108" s="642" t="s">
        <v>139</v>
      </c>
      <c r="M108" s="443"/>
      <c r="N108" s="443"/>
      <c r="O108" s="444"/>
      <c r="P108" s="444"/>
      <c r="Q108" s="620">
        <f t="shared" si="120"/>
        <v>1862000000</v>
      </c>
      <c r="R108" s="620">
        <f t="shared" si="120"/>
        <v>0</v>
      </c>
      <c r="S108" s="620">
        <f t="shared" si="120"/>
        <v>0</v>
      </c>
      <c r="T108" s="445"/>
      <c r="U108" s="662"/>
      <c r="V108" s="665"/>
      <c r="W108" s="684">
        <f t="shared" si="121"/>
        <v>0</v>
      </c>
      <c r="X108" s="684">
        <f t="shared" si="121"/>
        <v>0</v>
      </c>
      <c r="Y108" s="684">
        <f t="shared" si="122"/>
        <v>0</v>
      </c>
      <c r="Z108" s="684">
        <f t="shared" si="122"/>
        <v>1862000000</v>
      </c>
      <c r="AA108" s="684">
        <f t="shared" si="121"/>
        <v>0</v>
      </c>
      <c r="AB108" s="684">
        <f t="shared" si="121"/>
        <v>1862000000</v>
      </c>
      <c r="AG108" s="661"/>
    </row>
    <row r="109" spans="2:33" ht="30" customHeight="1" outlineLevel="1" x14ac:dyDescent="0.2">
      <c r="B109" s="446" t="s">
        <v>7</v>
      </c>
      <c r="C109" s="447" t="s">
        <v>20</v>
      </c>
      <c r="D109" s="447" t="s">
        <v>20</v>
      </c>
      <c r="E109" s="447" t="s">
        <v>20</v>
      </c>
      <c r="F109" s="447" t="s">
        <v>15</v>
      </c>
      <c r="G109" s="447" t="s">
        <v>9</v>
      </c>
      <c r="H109" s="447" t="s">
        <v>23</v>
      </c>
      <c r="I109" s="447"/>
      <c r="J109" s="449"/>
      <c r="K109" s="446"/>
      <c r="L109" s="643" t="s">
        <v>87</v>
      </c>
      <c r="M109" s="450"/>
      <c r="N109" s="450"/>
      <c r="O109" s="451"/>
      <c r="P109" s="451"/>
      <c r="Q109" s="621">
        <f t="shared" si="120"/>
        <v>1862000000</v>
      </c>
      <c r="R109" s="621">
        <f t="shared" si="120"/>
        <v>0</v>
      </c>
      <c r="S109" s="621">
        <f t="shared" si="120"/>
        <v>0</v>
      </c>
      <c r="T109" s="467"/>
      <c r="U109" s="662"/>
      <c r="V109" s="665"/>
      <c r="W109" s="684">
        <f t="shared" si="121"/>
        <v>0</v>
      </c>
      <c r="X109" s="684">
        <f t="shared" si="121"/>
        <v>0</v>
      </c>
      <c r="Y109" s="684">
        <f t="shared" si="122"/>
        <v>0</v>
      </c>
      <c r="Z109" s="684">
        <f t="shared" si="122"/>
        <v>1862000000</v>
      </c>
      <c r="AA109" s="684">
        <f t="shared" si="121"/>
        <v>0</v>
      </c>
      <c r="AB109" s="684">
        <f t="shared" si="121"/>
        <v>1862000000</v>
      </c>
      <c r="AG109" s="661"/>
    </row>
    <row r="110" spans="2:33" ht="30" customHeight="1" outlineLevel="1" x14ac:dyDescent="0.2">
      <c r="B110" s="446" t="s">
        <v>7</v>
      </c>
      <c r="C110" s="447" t="s">
        <v>20</v>
      </c>
      <c r="D110" s="447" t="s">
        <v>20</v>
      </c>
      <c r="E110" s="447" t="s">
        <v>20</v>
      </c>
      <c r="F110" s="447" t="s">
        <v>15</v>
      </c>
      <c r="G110" s="447" t="s">
        <v>9</v>
      </c>
      <c r="H110" s="447" t="s">
        <v>23</v>
      </c>
      <c r="I110" s="447" t="s">
        <v>34</v>
      </c>
      <c r="J110" s="449"/>
      <c r="K110" s="446"/>
      <c r="L110" s="643" t="s">
        <v>88</v>
      </c>
      <c r="M110" s="450"/>
      <c r="N110" s="450"/>
      <c r="O110" s="451"/>
      <c r="P110" s="451"/>
      <c r="Q110" s="621">
        <f>+Q111+Q113</f>
        <v>1862000000</v>
      </c>
      <c r="R110" s="621">
        <f t="shared" ref="R110:S110" si="123">+R111+R113</f>
        <v>0</v>
      </c>
      <c r="S110" s="621">
        <f t="shared" si="123"/>
        <v>0</v>
      </c>
      <c r="T110" s="467"/>
      <c r="U110" s="662"/>
      <c r="V110" s="665"/>
      <c r="W110" s="684">
        <f t="shared" ref="W110:AB110" si="124">+W111+W113</f>
        <v>0</v>
      </c>
      <c r="X110" s="684">
        <f t="shared" si="124"/>
        <v>0</v>
      </c>
      <c r="Y110" s="684">
        <f>+Y111+Y113</f>
        <v>0</v>
      </c>
      <c r="Z110" s="684">
        <f>+Z111+Z113</f>
        <v>1862000000</v>
      </c>
      <c r="AA110" s="684">
        <f t="shared" si="124"/>
        <v>0</v>
      </c>
      <c r="AB110" s="684">
        <f t="shared" si="124"/>
        <v>1862000000</v>
      </c>
      <c r="AG110" s="661"/>
    </row>
    <row r="111" spans="2:33" ht="35.25" customHeight="1" outlineLevel="1" x14ac:dyDescent="0.2">
      <c r="B111" s="446" t="s">
        <v>7</v>
      </c>
      <c r="C111" s="447" t="s">
        <v>20</v>
      </c>
      <c r="D111" s="447" t="s">
        <v>20</v>
      </c>
      <c r="E111" s="447" t="s">
        <v>20</v>
      </c>
      <c r="F111" s="447" t="s">
        <v>15</v>
      </c>
      <c r="G111" s="447" t="s">
        <v>9</v>
      </c>
      <c r="H111" s="447" t="s">
        <v>23</v>
      </c>
      <c r="I111" s="447" t="s">
        <v>34</v>
      </c>
      <c r="J111" s="449" t="s">
        <v>24</v>
      </c>
      <c r="K111" s="446"/>
      <c r="L111" s="643" t="s">
        <v>89</v>
      </c>
      <c r="M111" s="450"/>
      <c r="N111" s="450"/>
      <c r="O111" s="451"/>
      <c r="P111" s="451"/>
      <c r="Q111" s="621">
        <f>SUM(Q112:Q112)</f>
        <v>1852000000</v>
      </c>
      <c r="R111" s="621">
        <f t="shared" ref="R111:S111" si="125">SUM(R112:R112)</f>
        <v>0</v>
      </c>
      <c r="S111" s="621">
        <f t="shared" si="125"/>
        <v>0</v>
      </c>
      <c r="T111" s="467"/>
      <c r="U111" s="662"/>
      <c r="V111" s="665"/>
      <c r="W111" s="684">
        <f t="shared" ref="W111:AB111" si="126">SUM(W112:W112)</f>
        <v>0</v>
      </c>
      <c r="X111" s="684">
        <f t="shared" si="126"/>
        <v>0</v>
      </c>
      <c r="Y111" s="684">
        <f>SUM(Y112:Y112)</f>
        <v>0</v>
      </c>
      <c r="Z111" s="684">
        <f>SUM(Z112:Z112)</f>
        <v>1852000000</v>
      </c>
      <c r="AA111" s="684">
        <f t="shared" si="126"/>
        <v>0</v>
      </c>
      <c r="AB111" s="684">
        <f t="shared" si="126"/>
        <v>1852000000</v>
      </c>
      <c r="AG111" s="661"/>
    </row>
    <row r="112" spans="2:33" ht="30" outlineLevel="1" x14ac:dyDescent="0.2">
      <c r="B112" s="758"/>
      <c r="C112" s="754"/>
      <c r="D112" s="754"/>
      <c r="E112" s="754"/>
      <c r="F112" s="754"/>
      <c r="G112" s="754"/>
      <c r="H112" s="754"/>
      <c r="I112" s="754"/>
      <c r="J112" s="754"/>
      <c r="K112" s="453" t="s">
        <v>585</v>
      </c>
      <c r="L112" s="454" t="s">
        <v>89</v>
      </c>
      <c r="M112" s="455">
        <v>44206</v>
      </c>
      <c r="N112" s="455" t="s">
        <v>485</v>
      </c>
      <c r="O112" s="456" t="s">
        <v>586</v>
      </c>
      <c r="P112" s="456" t="s">
        <v>317</v>
      </c>
      <c r="Q112" s="468">
        <v>1852000000</v>
      </c>
      <c r="R112" s="458"/>
      <c r="S112" s="459"/>
      <c r="T112" s="460" t="s">
        <v>221</v>
      </c>
      <c r="U112" s="432"/>
      <c r="V112" s="433"/>
      <c r="W112" s="419"/>
      <c r="X112" s="419"/>
      <c r="Y112" s="689">
        <f>+X112-AA112</f>
        <v>0</v>
      </c>
      <c r="Z112" s="689">
        <f>+Q112-X112</f>
        <v>1852000000</v>
      </c>
      <c r="AA112" s="419"/>
      <c r="AB112" s="419">
        <f>(Q112-X112)</f>
        <v>1852000000</v>
      </c>
      <c r="AG112" s="661"/>
    </row>
    <row r="113" spans="2:33" ht="33.75" customHeight="1" outlineLevel="1" x14ac:dyDescent="0.2">
      <c r="B113" s="446" t="s">
        <v>7</v>
      </c>
      <c r="C113" s="447" t="s">
        <v>20</v>
      </c>
      <c r="D113" s="447" t="s">
        <v>20</v>
      </c>
      <c r="E113" s="447" t="s">
        <v>20</v>
      </c>
      <c r="F113" s="447" t="s">
        <v>15</v>
      </c>
      <c r="G113" s="447" t="s">
        <v>9</v>
      </c>
      <c r="H113" s="447" t="s">
        <v>23</v>
      </c>
      <c r="I113" s="447" t="s">
        <v>34</v>
      </c>
      <c r="J113" s="449" t="s">
        <v>29</v>
      </c>
      <c r="K113" s="446"/>
      <c r="L113" s="643" t="s">
        <v>90</v>
      </c>
      <c r="M113" s="450"/>
      <c r="N113" s="450"/>
      <c r="O113" s="451"/>
      <c r="P113" s="451"/>
      <c r="Q113" s="621">
        <f>SUM(Q114:Q114)</f>
        <v>10000000</v>
      </c>
      <c r="R113" s="621">
        <f t="shared" ref="R113:S113" si="127">SUM(R114:R114)</f>
        <v>0</v>
      </c>
      <c r="S113" s="621">
        <f t="shared" si="127"/>
        <v>0</v>
      </c>
      <c r="T113" s="467"/>
      <c r="U113" s="662"/>
      <c r="V113" s="665"/>
      <c r="W113" s="684">
        <f t="shared" ref="W113:AB113" si="128">SUM(W114:W114)</f>
        <v>0</v>
      </c>
      <c r="X113" s="684">
        <f t="shared" si="128"/>
        <v>0</v>
      </c>
      <c r="Y113" s="684">
        <f>SUM(Y114:Y114)</f>
        <v>0</v>
      </c>
      <c r="Z113" s="684">
        <f>SUM(Z114:Z114)</f>
        <v>10000000</v>
      </c>
      <c r="AA113" s="684">
        <f t="shared" si="128"/>
        <v>0</v>
      </c>
      <c r="AB113" s="684">
        <f t="shared" si="128"/>
        <v>10000000</v>
      </c>
      <c r="AG113" s="661"/>
    </row>
    <row r="114" spans="2:33" ht="45" outlineLevel="1" x14ac:dyDescent="0.2">
      <c r="B114" s="758"/>
      <c r="C114" s="754"/>
      <c r="D114" s="754"/>
      <c r="E114" s="754"/>
      <c r="F114" s="754"/>
      <c r="G114" s="754"/>
      <c r="H114" s="754"/>
      <c r="I114" s="754"/>
      <c r="J114" s="754"/>
      <c r="K114" s="463">
        <v>84131500</v>
      </c>
      <c r="L114" s="454" t="s">
        <v>575</v>
      </c>
      <c r="M114" s="455">
        <v>44837</v>
      </c>
      <c r="N114" s="455" t="s">
        <v>580</v>
      </c>
      <c r="O114" s="456" t="s">
        <v>576</v>
      </c>
      <c r="P114" s="456" t="s">
        <v>639</v>
      </c>
      <c r="Q114" s="468">
        <v>10000000</v>
      </c>
      <c r="R114" s="458"/>
      <c r="S114" s="459"/>
      <c r="T114" s="460" t="s">
        <v>574</v>
      </c>
      <c r="U114" s="432"/>
      <c r="V114" s="433"/>
      <c r="W114" s="419"/>
      <c r="X114" s="419"/>
      <c r="Y114" s="689">
        <f>+X114-AA114</f>
        <v>0</v>
      </c>
      <c r="Z114" s="689">
        <f>+Q114-X114</f>
        <v>10000000</v>
      </c>
      <c r="AA114" s="419"/>
      <c r="AB114" s="419">
        <f>(Q114-X114)</f>
        <v>10000000</v>
      </c>
      <c r="AG114" s="661"/>
    </row>
    <row r="115" spans="2:33" ht="15" customHeight="1" outlineLevel="1" x14ac:dyDescent="0.2">
      <c r="B115" s="434" t="s">
        <v>7</v>
      </c>
      <c r="C115" s="435" t="s">
        <v>20</v>
      </c>
      <c r="D115" s="435" t="s">
        <v>20</v>
      </c>
      <c r="E115" s="435" t="s">
        <v>20</v>
      </c>
      <c r="F115" s="435" t="s">
        <v>16</v>
      </c>
      <c r="G115" s="435"/>
      <c r="H115" s="435"/>
      <c r="I115" s="435"/>
      <c r="J115" s="436"/>
      <c r="K115" s="434"/>
      <c r="L115" s="641" t="s">
        <v>91</v>
      </c>
      <c r="M115" s="437"/>
      <c r="N115" s="437"/>
      <c r="O115" s="438"/>
      <c r="P115" s="438"/>
      <c r="Q115" s="619">
        <f>+Q116+Q120+Q144+Q152</f>
        <v>907943512</v>
      </c>
      <c r="R115" s="619">
        <f t="shared" ref="R115:S115" si="129">+R116+R120+R144+R152</f>
        <v>0</v>
      </c>
      <c r="S115" s="619">
        <f t="shared" si="129"/>
        <v>31193040</v>
      </c>
      <c r="T115" s="439"/>
      <c r="U115" s="662"/>
      <c r="V115" s="665"/>
      <c r="W115" s="684">
        <f t="shared" ref="W115:AB115" si="130">+W116+W120+W144+W152</f>
        <v>25590153146</v>
      </c>
      <c r="X115" s="684">
        <f t="shared" si="130"/>
        <v>672770847</v>
      </c>
      <c r="Y115" s="684">
        <f>+Y116+Y120+Y144+Y152</f>
        <v>119527880</v>
      </c>
      <c r="Z115" s="684">
        <f>+Z116+Z120+Z144+Z152</f>
        <v>230340025</v>
      </c>
      <c r="AA115" s="684">
        <f t="shared" si="130"/>
        <v>553242967</v>
      </c>
      <c r="AB115" s="684">
        <f t="shared" si="130"/>
        <v>230340025</v>
      </c>
      <c r="AC115" s="674">
        <f>+AA115-'[1]Sheet1 (2)'!$M$71</f>
        <v>39171806</v>
      </c>
      <c r="AG115" s="661"/>
    </row>
    <row r="116" spans="2:33" ht="15" customHeight="1" outlineLevel="1" x14ac:dyDescent="0.2">
      <c r="B116" s="440" t="s">
        <v>7</v>
      </c>
      <c r="C116" s="441" t="s">
        <v>20</v>
      </c>
      <c r="D116" s="441" t="s">
        <v>20</v>
      </c>
      <c r="E116" s="441" t="s">
        <v>20</v>
      </c>
      <c r="F116" s="441" t="s">
        <v>16</v>
      </c>
      <c r="G116" s="441" t="s">
        <v>10</v>
      </c>
      <c r="H116" s="441"/>
      <c r="I116" s="441"/>
      <c r="J116" s="442"/>
      <c r="K116" s="440"/>
      <c r="L116" s="642" t="s">
        <v>92</v>
      </c>
      <c r="M116" s="443"/>
      <c r="N116" s="443"/>
      <c r="O116" s="444"/>
      <c r="P116" s="444"/>
      <c r="Q116" s="620">
        <f>+Q117</f>
        <v>103193333</v>
      </c>
      <c r="R116" s="620">
        <f t="shared" ref="R116:S116" si="131">+R117</f>
        <v>0</v>
      </c>
      <c r="S116" s="620">
        <f t="shared" si="131"/>
        <v>0</v>
      </c>
      <c r="T116" s="445"/>
      <c r="U116" s="662"/>
      <c r="V116" s="665"/>
      <c r="W116" s="684">
        <f t="shared" ref="W116:AB116" si="132">+W117</f>
        <v>103193333</v>
      </c>
      <c r="X116" s="684">
        <f t="shared" si="132"/>
        <v>103193333</v>
      </c>
      <c r="Y116" s="684">
        <f>+Y117</f>
        <v>0</v>
      </c>
      <c r="Z116" s="684">
        <f>+Z117</f>
        <v>0</v>
      </c>
      <c r="AA116" s="684">
        <f t="shared" si="132"/>
        <v>103193333</v>
      </c>
      <c r="AB116" s="684">
        <f t="shared" si="132"/>
        <v>0</v>
      </c>
      <c r="AG116" s="661"/>
    </row>
    <row r="117" spans="2:33" ht="15" customHeight="1" outlineLevel="1" x14ac:dyDescent="0.2">
      <c r="B117" s="446" t="s">
        <v>7</v>
      </c>
      <c r="C117" s="447" t="s">
        <v>20</v>
      </c>
      <c r="D117" s="447" t="s">
        <v>20</v>
      </c>
      <c r="E117" s="447" t="s">
        <v>20</v>
      </c>
      <c r="F117" s="447" t="s">
        <v>16</v>
      </c>
      <c r="G117" s="447" t="s">
        <v>10</v>
      </c>
      <c r="H117" s="447" t="s">
        <v>8</v>
      </c>
      <c r="I117" s="447"/>
      <c r="J117" s="449"/>
      <c r="K117" s="446"/>
      <c r="L117" s="643" t="s">
        <v>93</v>
      </c>
      <c r="M117" s="450"/>
      <c r="N117" s="450"/>
      <c r="O117" s="451"/>
      <c r="P117" s="451"/>
      <c r="Q117" s="621">
        <f>SUM(Q118:Q119)</f>
        <v>103193333</v>
      </c>
      <c r="R117" s="621">
        <f t="shared" ref="R117:S117" si="133">SUM(R118:R119)</f>
        <v>0</v>
      </c>
      <c r="S117" s="621">
        <f t="shared" si="133"/>
        <v>0</v>
      </c>
      <c r="T117" s="467"/>
      <c r="U117" s="662"/>
      <c r="V117" s="665"/>
      <c r="W117" s="684">
        <f t="shared" ref="W117:AB117" si="134">SUM(W118:W119)</f>
        <v>103193333</v>
      </c>
      <c r="X117" s="684">
        <f t="shared" si="134"/>
        <v>103193333</v>
      </c>
      <c r="Y117" s="684">
        <f>SUM(Y118:Y119)</f>
        <v>0</v>
      </c>
      <c r="Z117" s="684">
        <f>SUM(Z118:Z119)</f>
        <v>0</v>
      </c>
      <c r="AA117" s="684">
        <f t="shared" si="134"/>
        <v>103193333</v>
      </c>
      <c r="AB117" s="684">
        <f t="shared" si="134"/>
        <v>0</v>
      </c>
      <c r="AG117" s="661"/>
    </row>
    <row r="118" spans="2:33" ht="105" outlineLevel="1" x14ac:dyDescent="0.2">
      <c r="B118" s="758"/>
      <c r="C118" s="754"/>
      <c r="D118" s="754"/>
      <c r="E118" s="754"/>
      <c r="F118" s="754"/>
      <c r="G118" s="754"/>
      <c r="H118" s="754"/>
      <c r="I118" s="754"/>
      <c r="J118" s="755"/>
      <c r="K118" s="463">
        <v>80121600</v>
      </c>
      <c r="L118" s="454" t="s">
        <v>624</v>
      </c>
      <c r="M118" s="455">
        <v>44572</v>
      </c>
      <c r="N118" s="455" t="s">
        <v>471</v>
      </c>
      <c r="O118" s="456" t="s">
        <v>622</v>
      </c>
      <c r="P118" s="456" t="s">
        <v>472</v>
      </c>
      <c r="Q118" s="468">
        <v>52593333</v>
      </c>
      <c r="R118" s="458"/>
      <c r="S118" s="459"/>
      <c r="T118" s="460" t="s">
        <v>623</v>
      </c>
      <c r="U118" s="432">
        <v>522</v>
      </c>
      <c r="V118" s="433">
        <v>44566</v>
      </c>
      <c r="W118" s="419">
        <v>52593333</v>
      </c>
      <c r="X118" s="419">
        <v>52593333</v>
      </c>
      <c r="Y118" s="689">
        <f>+X118-AA118</f>
        <v>0</v>
      </c>
      <c r="Z118" s="689">
        <f>+Q118-X118</f>
        <v>0</v>
      </c>
      <c r="AA118" s="419">
        <v>52593333</v>
      </c>
      <c r="AB118" s="419">
        <f>(Q118-X118)</f>
        <v>0</v>
      </c>
      <c r="AG118" s="661"/>
    </row>
    <row r="119" spans="2:33" ht="60" outlineLevel="1" x14ac:dyDescent="0.2">
      <c r="B119" s="761"/>
      <c r="C119" s="756"/>
      <c r="D119" s="756"/>
      <c r="E119" s="756"/>
      <c r="F119" s="756"/>
      <c r="G119" s="756"/>
      <c r="H119" s="756"/>
      <c r="I119" s="756"/>
      <c r="J119" s="757"/>
      <c r="K119" s="463">
        <v>80121600</v>
      </c>
      <c r="L119" s="454" t="s">
        <v>559</v>
      </c>
      <c r="M119" s="455">
        <v>44571</v>
      </c>
      <c r="N119" s="455" t="s">
        <v>483</v>
      </c>
      <c r="O119" s="456" t="s">
        <v>381</v>
      </c>
      <c r="P119" s="456" t="s">
        <v>472</v>
      </c>
      <c r="Q119" s="468">
        <f>4600000*11</f>
        <v>50600000</v>
      </c>
      <c r="R119" s="458"/>
      <c r="S119" s="497"/>
      <c r="T119" s="460" t="s">
        <v>272</v>
      </c>
      <c r="U119" s="432">
        <v>822</v>
      </c>
      <c r="V119" s="433">
        <v>44567</v>
      </c>
      <c r="W119" s="419">
        <v>50600000</v>
      </c>
      <c r="X119" s="419">
        <v>50600000</v>
      </c>
      <c r="Y119" s="689">
        <f>+X119-AA119</f>
        <v>0</v>
      </c>
      <c r="Z119" s="689">
        <f>+Q119-X119</f>
        <v>0</v>
      </c>
      <c r="AA119" s="419">
        <v>50600000</v>
      </c>
      <c r="AB119" s="419">
        <f>(Q119-X119)</f>
        <v>0</v>
      </c>
      <c r="AG119" s="661"/>
    </row>
    <row r="120" spans="2:33" ht="15" customHeight="1" outlineLevel="1" x14ac:dyDescent="0.2">
      <c r="B120" s="440" t="s">
        <v>7</v>
      </c>
      <c r="C120" s="441" t="s">
        <v>20</v>
      </c>
      <c r="D120" s="441" t="s">
        <v>20</v>
      </c>
      <c r="E120" s="441" t="s">
        <v>20</v>
      </c>
      <c r="F120" s="441" t="s">
        <v>16</v>
      </c>
      <c r="G120" s="441" t="s">
        <v>11</v>
      </c>
      <c r="H120" s="441"/>
      <c r="I120" s="441"/>
      <c r="J120" s="442"/>
      <c r="K120" s="440"/>
      <c r="L120" s="642" t="s">
        <v>95</v>
      </c>
      <c r="M120" s="443"/>
      <c r="N120" s="443"/>
      <c r="O120" s="444"/>
      <c r="P120" s="444"/>
      <c r="Q120" s="620">
        <f>+Q121</f>
        <v>635952415</v>
      </c>
      <c r="R120" s="620">
        <f t="shared" ref="R120:S120" si="135">+R121</f>
        <v>0</v>
      </c>
      <c r="S120" s="620">
        <f t="shared" si="135"/>
        <v>0</v>
      </c>
      <c r="T120" s="498"/>
      <c r="U120" s="662"/>
      <c r="V120" s="665"/>
      <c r="W120" s="684">
        <f t="shared" ref="W120:AB120" si="136">+W121</f>
        <v>25400865000</v>
      </c>
      <c r="X120" s="684">
        <f t="shared" si="136"/>
        <v>474754821</v>
      </c>
      <c r="Y120" s="684">
        <f>+Y121</f>
        <v>91600000</v>
      </c>
      <c r="Z120" s="684">
        <f>+Z121</f>
        <v>161197594</v>
      </c>
      <c r="AA120" s="684">
        <f t="shared" si="136"/>
        <v>383154821</v>
      </c>
      <c r="AB120" s="684">
        <f t="shared" si="136"/>
        <v>161197594</v>
      </c>
      <c r="AG120" s="661"/>
    </row>
    <row r="121" spans="2:33" ht="30" customHeight="1" outlineLevel="1" x14ac:dyDescent="0.2">
      <c r="B121" s="446" t="s">
        <v>7</v>
      </c>
      <c r="C121" s="447" t="s">
        <v>20</v>
      </c>
      <c r="D121" s="447" t="s">
        <v>20</v>
      </c>
      <c r="E121" s="447" t="s">
        <v>20</v>
      </c>
      <c r="F121" s="447" t="s">
        <v>16</v>
      </c>
      <c r="G121" s="447" t="s">
        <v>11</v>
      </c>
      <c r="H121" s="447" t="s">
        <v>8</v>
      </c>
      <c r="I121" s="447"/>
      <c r="J121" s="449"/>
      <c r="K121" s="446"/>
      <c r="L121" s="643" t="s">
        <v>122</v>
      </c>
      <c r="M121" s="450"/>
      <c r="N121" s="450"/>
      <c r="O121" s="451"/>
      <c r="P121" s="451"/>
      <c r="Q121" s="621">
        <f>+Q122+Q131+Q133</f>
        <v>635952415</v>
      </c>
      <c r="R121" s="621">
        <f t="shared" ref="R121:S121" si="137">+R122+R131+R133</f>
        <v>0</v>
      </c>
      <c r="S121" s="621">
        <f t="shared" si="137"/>
        <v>0</v>
      </c>
      <c r="T121" s="467"/>
      <c r="U121" s="662"/>
      <c r="V121" s="665"/>
      <c r="W121" s="684">
        <f t="shared" ref="W121:AB121" si="138">+W122+W131+W133</f>
        <v>25400865000</v>
      </c>
      <c r="X121" s="684">
        <f t="shared" si="138"/>
        <v>474754821</v>
      </c>
      <c r="Y121" s="684">
        <f>+Y122+Y131+Y133</f>
        <v>91600000</v>
      </c>
      <c r="Z121" s="684">
        <f>+Z122+Z131+Z133</f>
        <v>161197594</v>
      </c>
      <c r="AA121" s="684">
        <f t="shared" si="138"/>
        <v>383154821</v>
      </c>
      <c r="AB121" s="684">
        <f t="shared" si="138"/>
        <v>161197594</v>
      </c>
      <c r="AG121" s="661"/>
    </row>
    <row r="122" spans="2:33" ht="30" outlineLevel="1" x14ac:dyDescent="0.2">
      <c r="B122" s="446" t="s">
        <v>7</v>
      </c>
      <c r="C122" s="447" t="s">
        <v>20</v>
      </c>
      <c r="D122" s="447" t="s">
        <v>20</v>
      </c>
      <c r="E122" s="447" t="s">
        <v>20</v>
      </c>
      <c r="F122" s="447" t="s">
        <v>16</v>
      </c>
      <c r="G122" s="447" t="s">
        <v>11</v>
      </c>
      <c r="H122" s="447" t="s">
        <v>8</v>
      </c>
      <c r="I122" s="447" t="s">
        <v>21</v>
      </c>
      <c r="J122" s="474"/>
      <c r="K122" s="472"/>
      <c r="L122" s="643" t="s">
        <v>96</v>
      </c>
      <c r="M122" s="450"/>
      <c r="N122" s="450"/>
      <c r="O122" s="451"/>
      <c r="P122" s="476"/>
      <c r="Q122" s="621">
        <f>SUM(Q123:Q130)</f>
        <v>296269400</v>
      </c>
      <c r="R122" s="621">
        <f t="shared" ref="R122:S122" si="139">SUM(R123:R130)</f>
        <v>0</v>
      </c>
      <c r="S122" s="621">
        <f t="shared" si="139"/>
        <v>0</v>
      </c>
      <c r="T122" s="467"/>
      <c r="U122" s="662"/>
      <c r="V122" s="665"/>
      <c r="W122" s="684">
        <f t="shared" ref="W122:AB122" si="140">SUM(W123:W130)</f>
        <v>296200000</v>
      </c>
      <c r="X122" s="684">
        <f t="shared" si="140"/>
        <v>290371806</v>
      </c>
      <c r="Y122" s="684">
        <f>SUM(Y123:Y130)</f>
        <v>23600000</v>
      </c>
      <c r="Z122" s="684">
        <f>SUM(Z123:Z130)</f>
        <v>5897594</v>
      </c>
      <c r="AA122" s="684">
        <f t="shared" si="140"/>
        <v>266771806</v>
      </c>
      <c r="AB122" s="684">
        <f t="shared" si="140"/>
        <v>5897594</v>
      </c>
      <c r="AG122" s="661"/>
    </row>
    <row r="123" spans="2:33" ht="60" outlineLevel="1" x14ac:dyDescent="0.2">
      <c r="B123" s="758"/>
      <c r="C123" s="754"/>
      <c r="D123" s="754"/>
      <c r="E123" s="754"/>
      <c r="F123" s="754"/>
      <c r="G123" s="754"/>
      <c r="H123" s="754"/>
      <c r="I123" s="754"/>
      <c r="J123" s="754"/>
      <c r="K123" s="463">
        <v>80101500</v>
      </c>
      <c r="L123" s="454" t="s">
        <v>468</v>
      </c>
      <c r="M123" s="455">
        <v>44585</v>
      </c>
      <c r="N123" s="455" t="s">
        <v>469</v>
      </c>
      <c r="O123" s="456" t="s">
        <v>655</v>
      </c>
      <c r="P123" s="456" t="s">
        <v>532</v>
      </c>
      <c r="Q123" s="468">
        <f>45000000</f>
        <v>45000000</v>
      </c>
      <c r="R123" s="458" t="s">
        <v>350</v>
      </c>
      <c r="S123" s="459"/>
      <c r="T123" s="460" t="s">
        <v>473</v>
      </c>
      <c r="U123" s="432">
        <v>16422</v>
      </c>
      <c r="V123" s="433">
        <v>44600</v>
      </c>
      <c r="W123" s="419">
        <v>45000000</v>
      </c>
      <c r="X123" s="419">
        <v>39171806</v>
      </c>
      <c r="Y123" s="689">
        <f t="shared" ref="Y123:Y130" si="141">+X123-AA123</f>
        <v>0</v>
      </c>
      <c r="Z123" s="689">
        <f t="shared" ref="Z123:Z130" si="142">+Q123-X123</f>
        <v>5828194</v>
      </c>
      <c r="AA123" s="419">
        <v>39171806</v>
      </c>
      <c r="AB123" s="419">
        <f t="shared" ref="AB123:AB130" si="143">(Q123-X123)</f>
        <v>5828194</v>
      </c>
      <c r="AG123" s="661"/>
    </row>
    <row r="124" spans="2:33" ht="105" outlineLevel="1" x14ac:dyDescent="0.2">
      <c r="B124" s="761"/>
      <c r="C124" s="756"/>
      <c r="D124" s="756"/>
      <c r="E124" s="756"/>
      <c r="F124" s="756"/>
      <c r="G124" s="756"/>
      <c r="H124" s="756"/>
      <c r="I124" s="756"/>
      <c r="J124" s="756"/>
      <c r="K124" s="463">
        <v>80101500</v>
      </c>
      <c r="L124" s="454" t="s">
        <v>492</v>
      </c>
      <c r="M124" s="455">
        <v>44576</v>
      </c>
      <c r="N124" s="455" t="s">
        <v>471</v>
      </c>
      <c r="O124" s="456" t="s">
        <v>381</v>
      </c>
      <c r="P124" s="456" t="s">
        <v>472</v>
      </c>
      <c r="Q124" s="468">
        <v>50600000</v>
      </c>
      <c r="R124" s="458" t="s">
        <v>350</v>
      </c>
      <c r="S124" s="459"/>
      <c r="T124" s="499" t="s">
        <v>493</v>
      </c>
      <c r="U124" s="432">
        <v>922</v>
      </c>
      <c r="V124" s="433">
        <v>44567</v>
      </c>
      <c r="W124" s="419">
        <v>50600000</v>
      </c>
      <c r="X124" s="419">
        <v>50600000</v>
      </c>
      <c r="Y124" s="689">
        <f t="shared" si="141"/>
        <v>0</v>
      </c>
      <c r="Z124" s="689">
        <f t="shared" si="142"/>
        <v>0</v>
      </c>
      <c r="AA124" s="419">
        <v>50600000</v>
      </c>
      <c r="AB124" s="419">
        <f t="shared" si="143"/>
        <v>0</v>
      </c>
      <c r="AG124" s="661"/>
    </row>
    <row r="125" spans="2:33" ht="135" outlineLevel="1" x14ac:dyDescent="0.2">
      <c r="B125" s="761"/>
      <c r="C125" s="756"/>
      <c r="D125" s="756"/>
      <c r="E125" s="756"/>
      <c r="F125" s="756"/>
      <c r="G125" s="756"/>
      <c r="H125" s="756"/>
      <c r="I125" s="756"/>
      <c r="J125" s="756"/>
      <c r="K125" s="463">
        <v>80101500</v>
      </c>
      <c r="L125" s="454" t="s">
        <v>626</v>
      </c>
      <c r="M125" s="455">
        <v>44576</v>
      </c>
      <c r="N125" s="455" t="s">
        <v>471</v>
      </c>
      <c r="O125" s="456" t="s">
        <v>381</v>
      </c>
      <c r="P125" s="456" t="s">
        <v>472</v>
      </c>
      <c r="Q125" s="468">
        <v>50600000</v>
      </c>
      <c r="R125" s="458" t="s">
        <v>350</v>
      </c>
      <c r="S125" s="459"/>
      <c r="T125" s="499" t="s">
        <v>493</v>
      </c>
      <c r="U125" s="432">
        <v>1422</v>
      </c>
      <c r="V125" s="433">
        <v>44572</v>
      </c>
      <c r="W125" s="419">
        <v>50600000</v>
      </c>
      <c r="X125" s="419">
        <v>50600000</v>
      </c>
      <c r="Y125" s="689">
        <f t="shared" si="141"/>
        <v>0</v>
      </c>
      <c r="Z125" s="689">
        <f t="shared" si="142"/>
        <v>0</v>
      </c>
      <c r="AA125" s="419">
        <v>50600000</v>
      </c>
      <c r="AB125" s="419">
        <f t="shared" si="143"/>
        <v>0</v>
      </c>
      <c r="AG125" s="661"/>
    </row>
    <row r="126" spans="2:33" ht="60" outlineLevel="1" x14ac:dyDescent="0.2">
      <c r="B126" s="761"/>
      <c r="C126" s="756"/>
      <c r="D126" s="756"/>
      <c r="E126" s="756"/>
      <c r="F126" s="756"/>
      <c r="G126" s="756"/>
      <c r="H126" s="756"/>
      <c r="I126" s="756"/>
      <c r="J126" s="756"/>
      <c r="K126" s="463">
        <v>81101500</v>
      </c>
      <c r="L126" s="454" t="s">
        <v>629</v>
      </c>
      <c r="M126" s="455">
        <v>44576</v>
      </c>
      <c r="N126" s="455" t="s">
        <v>471</v>
      </c>
      <c r="O126" s="456" t="s">
        <v>381</v>
      </c>
      <c r="P126" s="456" t="s">
        <v>472</v>
      </c>
      <c r="Q126" s="468">
        <f>50600000-1500000-2190600-11840000-2000000</f>
        <v>33069400</v>
      </c>
      <c r="R126" s="458"/>
      <c r="S126" s="459"/>
      <c r="T126" s="460" t="s">
        <v>558</v>
      </c>
      <c r="U126" s="432">
        <v>2922</v>
      </c>
      <c r="V126" s="433">
        <v>44573</v>
      </c>
      <c r="W126" s="419">
        <v>33000000</v>
      </c>
      <c r="X126" s="419">
        <v>33000000</v>
      </c>
      <c r="Y126" s="689">
        <f t="shared" si="141"/>
        <v>0</v>
      </c>
      <c r="Z126" s="689">
        <f t="shared" si="142"/>
        <v>69400</v>
      </c>
      <c r="AA126" s="419">
        <v>33000000</v>
      </c>
      <c r="AB126" s="419">
        <f t="shared" si="143"/>
        <v>69400</v>
      </c>
      <c r="AG126" s="661"/>
    </row>
    <row r="127" spans="2:33" ht="30" outlineLevel="1" x14ac:dyDescent="0.2">
      <c r="B127" s="761"/>
      <c r="C127" s="756"/>
      <c r="D127" s="756"/>
      <c r="E127" s="756"/>
      <c r="F127" s="756"/>
      <c r="G127" s="756"/>
      <c r="H127" s="756"/>
      <c r="I127" s="756"/>
      <c r="J127" s="756"/>
      <c r="K127" s="463">
        <v>80111600</v>
      </c>
      <c r="L127" s="454" t="s">
        <v>675</v>
      </c>
      <c r="M127" s="455">
        <v>44581</v>
      </c>
      <c r="N127" s="455" t="s">
        <v>582</v>
      </c>
      <c r="O127" s="456" t="s">
        <v>467</v>
      </c>
      <c r="P127" s="456" t="s">
        <v>472</v>
      </c>
      <c r="Q127" s="468">
        <v>1500000</v>
      </c>
      <c r="R127" s="458"/>
      <c r="S127" s="459"/>
      <c r="T127" s="460" t="s">
        <v>679</v>
      </c>
      <c r="U127" s="432">
        <v>7622</v>
      </c>
      <c r="V127" s="433">
        <v>44579</v>
      </c>
      <c r="W127" s="419">
        <v>1500000</v>
      </c>
      <c r="X127" s="419">
        <v>1500000</v>
      </c>
      <c r="Y127" s="689">
        <f t="shared" si="141"/>
        <v>0</v>
      </c>
      <c r="Z127" s="689">
        <f t="shared" si="142"/>
        <v>0</v>
      </c>
      <c r="AA127" s="419">
        <v>1500000</v>
      </c>
      <c r="AB127" s="419">
        <f t="shared" si="143"/>
        <v>0</v>
      </c>
      <c r="AG127" s="661"/>
    </row>
    <row r="128" spans="2:33" ht="120" outlineLevel="1" x14ac:dyDescent="0.2">
      <c r="B128" s="761"/>
      <c r="C128" s="756"/>
      <c r="D128" s="756"/>
      <c r="E128" s="756"/>
      <c r="F128" s="756"/>
      <c r="G128" s="756"/>
      <c r="H128" s="756"/>
      <c r="I128" s="756"/>
      <c r="J128" s="756"/>
      <c r="K128" s="463">
        <v>80101500</v>
      </c>
      <c r="L128" s="454" t="s">
        <v>630</v>
      </c>
      <c r="M128" s="455">
        <v>44576</v>
      </c>
      <c r="N128" s="455" t="s">
        <v>471</v>
      </c>
      <c r="O128" s="456" t="s">
        <v>381</v>
      </c>
      <c r="P128" s="456" t="s">
        <v>472</v>
      </c>
      <c r="Q128" s="468">
        <v>36300000</v>
      </c>
      <c r="R128" s="458" t="s">
        <v>350</v>
      </c>
      <c r="S128" s="459"/>
      <c r="T128" s="499" t="s">
        <v>493</v>
      </c>
      <c r="U128" s="432">
        <v>1222</v>
      </c>
      <c r="V128" s="433">
        <v>44572</v>
      </c>
      <c r="W128" s="419">
        <v>36300000</v>
      </c>
      <c r="X128" s="419">
        <v>36300000</v>
      </c>
      <c r="Y128" s="689">
        <f t="shared" si="141"/>
        <v>13200000</v>
      </c>
      <c r="Z128" s="689">
        <f t="shared" si="142"/>
        <v>0</v>
      </c>
      <c r="AA128" s="419">
        <v>23100000</v>
      </c>
      <c r="AB128" s="419">
        <f t="shared" si="143"/>
        <v>0</v>
      </c>
      <c r="AG128" s="661"/>
    </row>
    <row r="129" spans="2:33" ht="75" outlineLevel="1" x14ac:dyDescent="0.2">
      <c r="B129" s="461"/>
      <c r="C129" s="462"/>
      <c r="D129" s="462"/>
      <c r="E129" s="462"/>
      <c r="F129" s="462"/>
      <c r="G129" s="462"/>
      <c r="H129" s="462"/>
      <c r="I129" s="462"/>
      <c r="J129" s="462"/>
      <c r="K129" s="463">
        <v>80101500</v>
      </c>
      <c r="L129" s="454" t="s">
        <v>596</v>
      </c>
      <c r="M129" s="455">
        <v>44565</v>
      </c>
      <c r="N129" s="455" t="s">
        <v>471</v>
      </c>
      <c r="O129" s="456" t="s">
        <v>553</v>
      </c>
      <c r="P129" s="456" t="s">
        <v>587</v>
      </c>
      <c r="Q129" s="468">
        <f>2600000*11</f>
        <v>28600000</v>
      </c>
      <c r="R129" s="458"/>
      <c r="S129" s="459"/>
      <c r="T129" s="460" t="s">
        <v>533</v>
      </c>
      <c r="U129" s="432">
        <v>1322</v>
      </c>
      <c r="V129" s="433">
        <v>44572</v>
      </c>
      <c r="W129" s="419">
        <v>28600000</v>
      </c>
      <c r="X129" s="419">
        <v>28600000</v>
      </c>
      <c r="Y129" s="689">
        <f t="shared" si="141"/>
        <v>10400000</v>
      </c>
      <c r="Z129" s="689">
        <f t="shared" si="142"/>
        <v>0</v>
      </c>
      <c r="AA129" s="419">
        <v>18200000</v>
      </c>
      <c r="AB129" s="419">
        <f t="shared" si="143"/>
        <v>0</v>
      </c>
      <c r="AG129" s="661"/>
    </row>
    <row r="130" spans="2:33" ht="45" outlineLevel="1" x14ac:dyDescent="0.2">
      <c r="B130" s="461"/>
      <c r="C130" s="462"/>
      <c r="D130" s="462"/>
      <c r="E130" s="462"/>
      <c r="F130" s="462"/>
      <c r="G130" s="462"/>
      <c r="H130" s="462"/>
      <c r="I130" s="462"/>
      <c r="J130" s="462"/>
      <c r="K130" s="463">
        <v>80101500</v>
      </c>
      <c r="L130" s="454" t="s">
        <v>654</v>
      </c>
      <c r="M130" s="455">
        <v>44576</v>
      </c>
      <c r="N130" s="455" t="s">
        <v>471</v>
      </c>
      <c r="O130" s="456" t="s">
        <v>381</v>
      </c>
      <c r="P130" s="456" t="s">
        <v>472</v>
      </c>
      <c r="Q130" s="468">
        <v>50600000</v>
      </c>
      <c r="R130" s="458" t="s">
        <v>350</v>
      </c>
      <c r="S130" s="459"/>
      <c r="T130" s="499" t="s">
        <v>533</v>
      </c>
      <c r="U130" s="432">
        <v>8622</v>
      </c>
      <c r="V130" s="433">
        <v>44582</v>
      </c>
      <c r="W130" s="419">
        <v>50600000</v>
      </c>
      <c r="X130" s="419">
        <v>50600000</v>
      </c>
      <c r="Y130" s="689">
        <f t="shared" si="141"/>
        <v>0</v>
      </c>
      <c r="Z130" s="689">
        <f t="shared" si="142"/>
        <v>0</v>
      </c>
      <c r="AA130" s="419">
        <v>50600000</v>
      </c>
      <c r="AB130" s="419">
        <f t="shared" si="143"/>
        <v>0</v>
      </c>
      <c r="AG130" s="661"/>
    </row>
    <row r="131" spans="2:33" ht="15" customHeight="1" outlineLevel="1" x14ac:dyDescent="0.2">
      <c r="B131" s="446" t="s">
        <v>7</v>
      </c>
      <c r="C131" s="447" t="s">
        <v>20</v>
      </c>
      <c r="D131" s="447" t="s">
        <v>20</v>
      </c>
      <c r="E131" s="447" t="s">
        <v>20</v>
      </c>
      <c r="F131" s="447" t="s">
        <v>16</v>
      </c>
      <c r="G131" s="447" t="s">
        <v>11</v>
      </c>
      <c r="H131" s="447" t="s">
        <v>8</v>
      </c>
      <c r="I131" s="447" t="s">
        <v>22</v>
      </c>
      <c r="J131" s="449"/>
      <c r="K131" s="446"/>
      <c r="L131" s="643" t="s">
        <v>97</v>
      </c>
      <c r="M131" s="450"/>
      <c r="N131" s="450"/>
      <c r="O131" s="451"/>
      <c r="P131" s="476"/>
      <c r="Q131" s="621">
        <f>SUM(Q132:Q132)</f>
        <v>7000000</v>
      </c>
      <c r="R131" s="621">
        <f t="shared" ref="R131:S131" si="144">SUM(R132:R132)</f>
        <v>0</v>
      </c>
      <c r="S131" s="621">
        <f t="shared" si="144"/>
        <v>0</v>
      </c>
      <c r="T131" s="467"/>
      <c r="U131" s="662"/>
      <c r="V131" s="665"/>
      <c r="W131" s="684">
        <f t="shared" ref="W131:AB131" si="145">SUM(W132:W132)</f>
        <v>0</v>
      </c>
      <c r="X131" s="684">
        <f t="shared" si="145"/>
        <v>0</v>
      </c>
      <c r="Y131" s="684">
        <f>SUM(Y132:Y132)</f>
        <v>0</v>
      </c>
      <c r="Z131" s="684">
        <f>SUM(Z132:Z132)</f>
        <v>7000000</v>
      </c>
      <c r="AA131" s="684">
        <f t="shared" si="145"/>
        <v>0</v>
      </c>
      <c r="AB131" s="684">
        <f t="shared" si="145"/>
        <v>7000000</v>
      </c>
      <c r="AG131" s="661"/>
    </row>
    <row r="132" spans="2:33" ht="30" outlineLevel="1" x14ac:dyDescent="0.2">
      <c r="B132" s="758"/>
      <c r="C132" s="754"/>
      <c r="D132" s="754"/>
      <c r="E132" s="754"/>
      <c r="F132" s="754"/>
      <c r="G132" s="754"/>
      <c r="H132" s="754"/>
      <c r="I132" s="754"/>
      <c r="J132" s="754"/>
      <c r="K132" s="463">
        <v>80101500</v>
      </c>
      <c r="L132" s="454" t="s">
        <v>400</v>
      </c>
      <c r="M132" s="455">
        <v>44849</v>
      </c>
      <c r="N132" s="455" t="s">
        <v>523</v>
      </c>
      <c r="O132" s="456" t="s">
        <v>467</v>
      </c>
      <c r="P132" s="456" t="s">
        <v>472</v>
      </c>
      <c r="Q132" s="468">
        <v>7000000</v>
      </c>
      <c r="R132" s="458" t="s">
        <v>386</v>
      </c>
      <c r="S132" s="459"/>
      <c r="T132" s="460" t="s">
        <v>194</v>
      </c>
      <c r="U132" s="432"/>
      <c r="V132" s="433"/>
      <c r="W132" s="419"/>
      <c r="X132" s="419"/>
      <c r="Y132" s="689">
        <f>+X132-AA132</f>
        <v>0</v>
      </c>
      <c r="Z132" s="689">
        <f>+Q132-X132</f>
        <v>7000000</v>
      </c>
      <c r="AA132" s="419"/>
      <c r="AB132" s="419">
        <f>(Q132-X132)</f>
        <v>7000000</v>
      </c>
      <c r="AG132" s="661"/>
    </row>
    <row r="133" spans="2:33" ht="31.5" customHeight="1" outlineLevel="1" x14ac:dyDescent="0.2">
      <c r="B133" s="446" t="s">
        <v>7</v>
      </c>
      <c r="C133" s="447" t="s">
        <v>20</v>
      </c>
      <c r="D133" s="447" t="s">
        <v>20</v>
      </c>
      <c r="E133" s="447" t="s">
        <v>20</v>
      </c>
      <c r="F133" s="447" t="s">
        <v>16</v>
      </c>
      <c r="G133" s="447" t="s">
        <v>11</v>
      </c>
      <c r="H133" s="447" t="s">
        <v>8</v>
      </c>
      <c r="I133" s="447" t="s">
        <v>32</v>
      </c>
      <c r="J133" s="449"/>
      <c r="K133" s="446"/>
      <c r="L133" s="643" t="s">
        <v>98</v>
      </c>
      <c r="M133" s="450"/>
      <c r="N133" s="450"/>
      <c r="O133" s="451"/>
      <c r="P133" s="451"/>
      <c r="Q133" s="621">
        <f>SUM(Q134:Q143)</f>
        <v>332683015</v>
      </c>
      <c r="R133" s="621">
        <f t="shared" ref="R133:S133" si="146">SUM(R134:R143)</f>
        <v>0</v>
      </c>
      <c r="S133" s="621">
        <f t="shared" si="146"/>
        <v>0</v>
      </c>
      <c r="T133" s="467"/>
      <c r="U133" s="662"/>
      <c r="V133" s="665"/>
      <c r="W133" s="684">
        <f t="shared" ref="W133:AB133" si="147">SUM(W134:W143)</f>
        <v>25104665000</v>
      </c>
      <c r="X133" s="684">
        <f t="shared" si="147"/>
        <v>184383015</v>
      </c>
      <c r="Y133" s="684">
        <f>SUM(Y134:Y143)</f>
        <v>68000000</v>
      </c>
      <c r="Z133" s="684">
        <f>SUM(Z134:Z143)</f>
        <v>148300000</v>
      </c>
      <c r="AA133" s="684">
        <f t="shared" si="147"/>
        <v>116383015</v>
      </c>
      <c r="AB133" s="684">
        <f t="shared" si="147"/>
        <v>148300000</v>
      </c>
      <c r="AG133" s="661"/>
    </row>
    <row r="134" spans="2:33" ht="30" customHeight="1" outlineLevel="1" x14ac:dyDescent="0.2">
      <c r="B134" s="761"/>
      <c r="C134" s="756"/>
      <c r="D134" s="756"/>
      <c r="E134" s="756"/>
      <c r="F134" s="756"/>
      <c r="G134" s="756"/>
      <c r="H134" s="756"/>
      <c r="I134" s="756"/>
      <c r="J134" s="756"/>
      <c r="K134" s="694" t="s">
        <v>308</v>
      </c>
      <c r="L134" s="454" t="s">
        <v>640</v>
      </c>
      <c r="M134" s="455">
        <v>44571</v>
      </c>
      <c r="N134" s="455" t="s">
        <v>582</v>
      </c>
      <c r="O134" s="456" t="s">
        <v>301</v>
      </c>
      <c r="P134" s="456" t="s">
        <v>318</v>
      </c>
      <c r="Q134" s="468">
        <f>24927000-4283133</f>
        <v>20643867</v>
      </c>
      <c r="R134" s="458" t="s">
        <v>322</v>
      </c>
      <c r="S134" s="459"/>
      <c r="T134" s="460" t="s">
        <v>181</v>
      </c>
      <c r="U134" s="696">
        <v>20822</v>
      </c>
      <c r="V134" s="433">
        <v>44610</v>
      </c>
      <c r="W134" s="419">
        <v>24927000000</v>
      </c>
      <c r="X134" s="419">
        <v>20643867</v>
      </c>
      <c r="Y134" s="689">
        <f t="shared" ref="Y134:Y143" si="148">+X134-AA134</f>
        <v>0</v>
      </c>
      <c r="Z134" s="689">
        <f t="shared" ref="Z134:Z143" si="149">+Q134-X134</f>
        <v>0</v>
      </c>
      <c r="AA134" s="419">
        <v>20643867</v>
      </c>
      <c r="AB134" s="419">
        <f t="shared" ref="AB134:AB143" si="150">(Q134-X134)</f>
        <v>0</v>
      </c>
      <c r="AG134" s="661"/>
    </row>
    <row r="135" spans="2:33" ht="30" customHeight="1" outlineLevel="1" x14ac:dyDescent="0.2">
      <c r="B135" s="761"/>
      <c r="C135" s="756"/>
      <c r="D135" s="756"/>
      <c r="E135" s="756"/>
      <c r="F135" s="756"/>
      <c r="G135" s="756"/>
      <c r="H135" s="756"/>
      <c r="I135" s="756"/>
      <c r="J135" s="756"/>
      <c r="K135" s="453" t="s">
        <v>308</v>
      </c>
      <c r="L135" s="454" t="s">
        <v>641</v>
      </c>
      <c r="M135" s="455">
        <v>44691</v>
      </c>
      <c r="N135" s="455" t="s">
        <v>530</v>
      </c>
      <c r="O135" s="456" t="s">
        <v>470</v>
      </c>
      <c r="P135" s="456" t="s">
        <v>318</v>
      </c>
      <c r="Q135" s="468">
        <v>10500000</v>
      </c>
      <c r="R135" s="458" t="s">
        <v>350</v>
      </c>
      <c r="S135" s="459"/>
      <c r="T135" s="460" t="s">
        <v>181</v>
      </c>
      <c r="U135" s="696"/>
      <c r="V135" s="433"/>
      <c r="W135" s="419"/>
      <c r="X135" s="419"/>
      <c r="Y135" s="689">
        <f t="shared" si="148"/>
        <v>0</v>
      </c>
      <c r="Z135" s="689">
        <f t="shared" si="149"/>
        <v>10500000</v>
      </c>
      <c r="AA135" s="419"/>
      <c r="AB135" s="419">
        <f t="shared" si="150"/>
        <v>10500000</v>
      </c>
      <c r="AG135" s="661"/>
    </row>
    <row r="136" spans="2:33" ht="30" customHeight="1" outlineLevel="1" x14ac:dyDescent="0.2">
      <c r="B136" s="761"/>
      <c r="C136" s="756"/>
      <c r="D136" s="756"/>
      <c r="E136" s="756"/>
      <c r="F136" s="756"/>
      <c r="G136" s="756"/>
      <c r="H136" s="756"/>
      <c r="I136" s="756"/>
      <c r="J136" s="756"/>
      <c r="K136" s="453">
        <v>81111500</v>
      </c>
      <c r="L136" s="454" t="s">
        <v>628</v>
      </c>
      <c r="M136" s="455">
        <v>44571</v>
      </c>
      <c r="N136" s="455" t="s">
        <v>582</v>
      </c>
      <c r="O136" s="456" t="s">
        <v>659</v>
      </c>
      <c r="P136" s="456" t="s">
        <v>472</v>
      </c>
      <c r="Q136" s="468">
        <f>19800000+16500000</f>
        <v>36300000</v>
      </c>
      <c r="R136" s="458" t="s">
        <v>350</v>
      </c>
      <c r="S136" s="459"/>
      <c r="T136" s="460" t="s">
        <v>181</v>
      </c>
      <c r="U136" s="696">
        <v>7322</v>
      </c>
      <c r="V136" s="433">
        <v>44580</v>
      </c>
      <c r="W136" s="419">
        <v>19800000</v>
      </c>
      <c r="X136" s="419">
        <v>19800000</v>
      </c>
      <c r="Y136" s="689">
        <f t="shared" si="148"/>
        <v>0</v>
      </c>
      <c r="Z136" s="689">
        <f t="shared" si="149"/>
        <v>16500000</v>
      </c>
      <c r="AA136" s="419">
        <v>19800000</v>
      </c>
      <c r="AB136" s="419">
        <f t="shared" si="150"/>
        <v>16500000</v>
      </c>
      <c r="AG136" s="661"/>
    </row>
    <row r="137" spans="2:33" ht="30" customHeight="1" outlineLevel="1" x14ac:dyDescent="0.2">
      <c r="B137" s="761"/>
      <c r="C137" s="756"/>
      <c r="D137" s="756"/>
      <c r="E137" s="756"/>
      <c r="F137" s="756"/>
      <c r="G137" s="756"/>
      <c r="H137" s="756"/>
      <c r="I137" s="756"/>
      <c r="J137" s="756"/>
      <c r="K137" s="453">
        <v>81111500</v>
      </c>
      <c r="L137" s="454" t="s">
        <v>627</v>
      </c>
      <c r="M137" s="455">
        <v>44571</v>
      </c>
      <c r="N137" s="455" t="s">
        <v>582</v>
      </c>
      <c r="O137" s="456" t="s">
        <v>381</v>
      </c>
      <c r="P137" s="456" t="s">
        <v>472</v>
      </c>
      <c r="Q137" s="468">
        <v>50600000</v>
      </c>
      <c r="R137" s="458" t="s">
        <v>350</v>
      </c>
      <c r="S137" s="459"/>
      <c r="T137" s="460" t="s">
        <v>181</v>
      </c>
      <c r="U137" s="696">
        <v>7422</v>
      </c>
      <c r="V137" s="695">
        <v>44580</v>
      </c>
      <c r="W137" s="419">
        <v>50600000</v>
      </c>
      <c r="X137" s="419">
        <v>50600000</v>
      </c>
      <c r="Y137" s="689">
        <f t="shared" si="148"/>
        <v>23000000</v>
      </c>
      <c r="Z137" s="689">
        <f t="shared" si="149"/>
        <v>0</v>
      </c>
      <c r="AA137" s="419">
        <v>27600000</v>
      </c>
      <c r="AB137" s="419">
        <f t="shared" si="150"/>
        <v>0</v>
      </c>
      <c r="AG137" s="661"/>
    </row>
    <row r="138" spans="2:33" ht="30" customHeight="1" outlineLevel="1" x14ac:dyDescent="0.2">
      <c r="B138" s="761"/>
      <c r="C138" s="756"/>
      <c r="D138" s="756"/>
      <c r="E138" s="756"/>
      <c r="F138" s="756"/>
      <c r="G138" s="756"/>
      <c r="H138" s="756"/>
      <c r="I138" s="756"/>
      <c r="J138" s="756"/>
      <c r="K138" s="453">
        <v>82112200</v>
      </c>
      <c r="L138" s="454" t="s">
        <v>176</v>
      </c>
      <c r="M138" s="455">
        <v>44602</v>
      </c>
      <c r="N138" s="455" t="s">
        <v>485</v>
      </c>
      <c r="O138" s="456" t="s">
        <v>529</v>
      </c>
      <c r="P138" s="456" t="s">
        <v>338</v>
      </c>
      <c r="Q138" s="468">
        <f>9765000-201552</f>
        <v>9563448</v>
      </c>
      <c r="R138" s="458" t="s">
        <v>350</v>
      </c>
      <c r="S138" s="459"/>
      <c r="T138" s="460" t="s">
        <v>181</v>
      </c>
      <c r="U138" s="696">
        <v>1522</v>
      </c>
      <c r="V138" s="433">
        <v>44572</v>
      </c>
      <c r="W138" s="419">
        <v>9765000</v>
      </c>
      <c r="X138" s="419">
        <v>9563448</v>
      </c>
      <c r="Y138" s="689">
        <f t="shared" si="148"/>
        <v>0</v>
      </c>
      <c r="Z138" s="689">
        <f t="shared" si="149"/>
        <v>0</v>
      </c>
      <c r="AA138" s="419">
        <v>9563448</v>
      </c>
      <c r="AB138" s="419">
        <f t="shared" si="150"/>
        <v>0</v>
      </c>
      <c r="AG138" s="661"/>
    </row>
    <row r="139" spans="2:33" ht="30" customHeight="1" outlineLevel="1" x14ac:dyDescent="0.2">
      <c r="B139" s="761"/>
      <c r="C139" s="756"/>
      <c r="D139" s="756"/>
      <c r="E139" s="756"/>
      <c r="F139" s="756"/>
      <c r="G139" s="756"/>
      <c r="H139" s="756"/>
      <c r="I139" s="756"/>
      <c r="J139" s="756"/>
      <c r="K139" s="453">
        <v>82112200</v>
      </c>
      <c r="L139" s="454" t="s">
        <v>233</v>
      </c>
      <c r="M139" s="455">
        <v>44727</v>
      </c>
      <c r="N139" s="455" t="s">
        <v>579</v>
      </c>
      <c r="O139" s="456" t="s">
        <v>470</v>
      </c>
      <c r="P139" s="456" t="s">
        <v>338</v>
      </c>
      <c r="Q139" s="468">
        <f>52500000+20500000</f>
        <v>73000000</v>
      </c>
      <c r="R139" s="458" t="s">
        <v>350</v>
      </c>
      <c r="S139" s="459"/>
      <c r="T139" s="460" t="s">
        <v>181</v>
      </c>
      <c r="U139" s="696"/>
      <c r="V139" s="433"/>
      <c r="W139" s="419"/>
      <c r="X139" s="419"/>
      <c r="Y139" s="689">
        <f t="shared" si="148"/>
        <v>0</v>
      </c>
      <c r="Z139" s="689">
        <f t="shared" si="149"/>
        <v>73000000</v>
      </c>
      <c r="AA139" s="419"/>
      <c r="AB139" s="419">
        <f t="shared" si="150"/>
        <v>73000000</v>
      </c>
      <c r="AG139" s="661"/>
    </row>
    <row r="140" spans="2:33" ht="30" outlineLevel="1" x14ac:dyDescent="0.2">
      <c r="B140" s="761"/>
      <c r="C140" s="756"/>
      <c r="D140" s="756"/>
      <c r="E140" s="756"/>
      <c r="F140" s="756"/>
      <c r="G140" s="756"/>
      <c r="H140" s="756"/>
      <c r="I140" s="756"/>
      <c r="J140" s="756"/>
      <c r="K140" s="453">
        <v>82112200</v>
      </c>
      <c r="L140" s="454" t="s">
        <v>564</v>
      </c>
      <c r="M140" s="455">
        <v>44607</v>
      </c>
      <c r="N140" s="455" t="s">
        <v>469</v>
      </c>
      <c r="O140" s="456" t="s">
        <v>536</v>
      </c>
      <c r="P140" s="456" t="s">
        <v>338</v>
      </c>
      <c r="Q140" s="468">
        <v>45000000</v>
      </c>
      <c r="R140" s="458" t="s">
        <v>350</v>
      </c>
      <c r="S140" s="468"/>
      <c r="T140" s="460" t="s">
        <v>181</v>
      </c>
      <c r="U140" s="696">
        <v>1622</v>
      </c>
      <c r="V140" s="433">
        <v>44572</v>
      </c>
      <c r="W140" s="419">
        <v>45000000</v>
      </c>
      <c r="X140" s="419">
        <v>45000000</v>
      </c>
      <c r="Y140" s="689">
        <f t="shared" si="148"/>
        <v>45000000</v>
      </c>
      <c r="Z140" s="689">
        <f t="shared" si="149"/>
        <v>0</v>
      </c>
      <c r="AA140" s="419"/>
      <c r="AB140" s="419">
        <f t="shared" si="150"/>
        <v>0</v>
      </c>
      <c r="AG140" s="661"/>
    </row>
    <row r="141" spans="2:33" ht="30" outlineLevel="1" x14ac:dyDescent="0.2">
      <c r="B141" s="761"/>
      <c r="C141" s="756"/>
      <c r="D141" s="756"/>
      <c r="E141" s="756"/>
      <c r="F141" s="756"/>
      <c r="G141" s="756"/>
      <c r="H141" s="756"/>
      <c r="I141" s="756"/>
      <c r="J141" s="756"/>
      <c r="K141" s="453">
        <v>82112200</v>
      </c>
      <c r="L141" s="454" t="s">
        <v>177</v>
      </c>
      <c r="M141" s="455">
        <v>44774</v>
      </c>
      <c r="N141" s="455" t="s">
        <v>584</v>
      </c>
      <c r="O141" s="456" t="s">
        <v>536</v>
      </c>
      <c r="P141" s="456" t="s">
        <v>338</v>
      </c>
      <c r="Q141" s="468">
        <v>42000000</v>
      </c>
      <c r="R141" s="458" t="s">
        <v>350</v>
      </c>
      <c r="S141" s="468"/>
      <c r="T141" s="460" t="s">
        <v>181</v>
      </c>
      <c r="U141" s="696"/>
      <c r="V141" s="433"/>
      <c r="W141" s="419"/>
      <c r="X141" s="419"/>
      <c r="Y141" s="689">
        <f t="shared" si="148"/>
        <v>0</v>
      </c>
      <c r="Z141" s="689">
        <f t="shared" si="149"/>
        <v>42000000</v>
      </c>
      <c r="AA141" s="419"/>
      <c r="AB141" s="419">
        <f t="shared" si="150"/>
        <v>42000000</v>
      </c>
      <c r="AG141" s="661"/>
    </row>
    <row r="142" spans="2:33" ht="75" outlineLevel="1" x14ac:dyDescent="0.2">
      <c r="B142" s="761"/>
      <c r="C142" s="756"/>
      <c r="D142" s="756"/>
      <c r="E142" s="756"/>
      <c r="F142" s="756"/>
      <c r="G142" s="756"/>
      <c r="H142" s="756"/>
      <c r="I142" s="756"/>
      <c r="J142" s="756"/>
      <c r="K142" s="463">
        <v>80111600</v>
      </c>
      <c r="L142" s="499" t="s">
        <v>725</v>
      </c>
      <c r="M142" s="455" t="s">
        <v>726</v>
      </c>
      <c r="N142" s="455" t="s">
        <v>584</v>
      </c>
      <c r="O142" s="456" t="s">
        <v>583</v>
      </c>
      <c r="P142" s="456" t="s">
        <v>338</v>
      </c>
      <c r="Q142" s="468">
        <v>6300000</v>
      </c>
      <c r="R142" s="458"/>
      <c r="S142" s="468"/>
      <c r="T142" s="460"/>
      <c r="U142" s="696"/>
      <c r="V142" s="433"/>
      <c r="W142" s="419"/>
      <c r="X142" s="419"/>
      <c r="Y142" s="689"/>
      <c r="Z142" s="689">
        <f t="shared" si="149"/>
        <v>6300000</v>
      </c>
      <c r="AA142" s="419"/>
      <c r="AB142" s="419">
        <f t="shared" si="150"/>
        <v>6300000</v>
      </c>
      <c r="AG142" s="661"/>
    </row>
    <row r="143" spans="2:33" ht="60" outlineLevel="1" x14ac:dyDescent="0.2">
      <c r="B143" s="761"/>
      <c r="C143" s="756"/>
      <c r="D143" s="756"/>
      <c r="E143" s="756"/>
      <c r="F143" s="756"/>
      <c r="G143" s="756"/>
      <c r="H143" s="756"/>
      <c r="I143" s="756"/>
      <c r="J143" s="756"/>
      <c r="K143" s="463">
        <v>43222501</v>
      </c>
      <c r="L143" s="454" t="s">
        <v>180</v>
      </c>
      <c r="M143" s="455">
        <v>44607</v>
      </c>
      <c r="N143" s="455" t="s">
        <v>469</v>
      </c>
      <c r="O143" s="456" t="s">
        <v>529</v>
      </c>
      <c r="P143" s="456" t="s">
        <v>532</v>
      </c>
      <c r="Q143" s="468">
        <f>52500000-13724300</f>
        <v>38775700</v>
      </c>
      <c r="R143" s="458" t="s">
        <v>350</v>
      </c>
      <c r="S143" s="459"/>
      <c r="T143" s="460" t="s">
        <v>181</v>
      </c>
      <c r="U143" s="696">
        <v>20722</v>
      </c>
      <c r="V143" s="433">
        <v>44610</v>
      </c>
      <c r="W143" s="419">
        <v>52500000</v>
      </c>
      <c r="X143" s="419">
        <v>38775700</v>
      </c>
      <c r="Y143" s="689">
        <f t="shared" si="148"/>
        <v>0</v>
      </c>
      <c r="Z143" s="689">
        <f t="shared" si="149"/>
        <v>0</v>
      </c>
      <c r="AA143" s="419">
        <v>38775700</v>
      </c>
      <c r="AB143" s="419">
        <f t="shared" si="150"/>
        <v>0</v>
      </c>
      <c r="AG143" s="661"/>
    </row>
    <row r="144" spans="2:33" ht="27" customHeight="1" outlineLevel="1" x14ac:dyDescent="0.2">
      <c r="B144" s="440" t="s">
        <v>7</v>
      </c>
      <c r="C144" s="441" t="s">
        <v>20</v>
      </c>
      <c r="D144" s="441" t="s">
        <v>20</v>
      </c>
      <c r="E144" s="441" t="s">
        <v>20</v>
      </c>
      <c r="F144" s="441" t="s">
        <v>16</v>
      </c>
      <c r="G144" s="441" t="s">
        <v>12</v>
      </c>
      <c r="H144" s="441"/>
      <c r="I144" s="441"/>
      <c r="J144" s="442"/>
      <c r="K144" s="440"/>
      <c r="L144" s="642" t="s">
        <v>101</v>
      </c>
      <c r="M144" s="443"/>
      <c r="N144" s="443"/>
      <c r="O144" s="444"/>
      <c r="P144" s="444"/>
      <c r="Q144" s="620">
        <f>+Q145+Q149</f>
        <v>52495000</v>
      </c>
      <c r="R144" s="620">
        <f t="shared" ref="R144:S144" si="151">+R145+R149</f>
        <v>0</v>
      </c>
      <c r="S144" s="620">
        <f t="shared" si="151"/>
        <v>0</v>
      </c>
      <c r="T144" s="445"/>
      <c r="U144" s="662"/>
      <c r="V144" s="665"/>
      <c r="W144" s="684">
        <f t="shared" ref="W144:AB144" si="152">+W145+W149</f>
        <v>19245490</v>
      </c>
      <c r="X144" s="684">
        <f t="shared" si="152"/>
        <v>24973370</v>
      </c>
      <c r="Y144" s="684">
        <f>+Y145+Y149</f>
        <v>1727880</v>
      </c>
      <c r="Z144" s="684">
        <f>+Z145+Z149</f>
        <v>27521630</v>
      </c>
      <c r="AA144" s="684">
        <f t="shared" si="152"/>
        <v>23245490</v>
      </c>
      <c r="AB144" s="684">
        <f t="shared" si="152"/>
        <v>27521630</v>
      </c>
      <c r="AG144" s="661"/>
    </row>
    <row r="145" spans="2:33" ht="15" customHeight="1" outlineLevel="1" x14ac:dyDescent="0.2">
      <c r="B145" s="446" t="s">
        <v>7</v>
      </c>
      <c r="C145" s="447" t="s">
        <v>20</v>
      </c>
      <c r="D145" s="447" t="s">
        <v>20</v>
      </c>
      <c r="E145" s="447" t="s">
        <v>20</v>
      </c>
      <c r="F145" s="447" t="s">
        <v>16</v>
      </c>
      <c r="G145" s="447" t="s">
        <v>12</v>
      </c>
      <c r="H145" s="447" t="s">
        <v>8</v>
      </c>
      <c r="I145" s="447"/>
      <c r="J145" s="449"/>
      <c r="K145" s="446"/>
      <c r="L145" s="643" t="s">
        <v>102</v>
      </c>
      <c r="M145" s="450"/>
      <c r="N145" s="450"/>
      <c r="O145" s="451"/>
      <c r="P145" s="451"/>
      <c r="Q145" s="621">
        <f>SUM(Q146:Q148)</f>
        <v>37900000</v>
      </c>
      <c r="R145" s="621">
        <f t="shared" ref="R145:S145" si="153">SUM(R146:R148)</f>
        <v>0</v>
      </c>
      <c r="S145" s="621">
        <f t="shared" si="153"/>
        <v>0</v>
      </c>
      <c r="T145" s="467"/>
      <c r="U145" s="662"/>
      <c r="V145" s="665"/>
      <c r="W145" s="684">
        <f t="shared" ref="W145:AB145" si="154">SUM(W146:W148)</f>
        <v>16221700</v>
      </c>
      <c r="X145" s="684">
        <f t="shared" si="154"/>
        <v>20221700</v>
      </c>
      <c r="Y145" s="684">
        <f>SUM(Y146:Y148)</f>
        <v>0</v>
      </c>
      <c r="Z145" s="684">
        <f>SUM(Z146:Z148)</f>
        <v>17678300</v>
      </c>
      <c r="AA145" s="684">
        <f t="shared" si="154"/>
        <v>20221700</v>
      </c>
      <c r="AB145" s="684">
        <f t="shared" si="154"/>
        <v>17678300</v>
      </c>
      <c r="AG145" s="661"/>
    </row>
    <row r="146" spans="2:33" outlineLevel="1" x14ac:dyDescent="0.2">
      <c r="B146" s="758"/>
      <c r="C146" s="754"/>
      <c r="D146" s="754"/>
      <c r="E146" s="754"/>
      <c r="F146" s="754"/>
      <c r="G146" s="754"/>
      <c r="H146" s="754"/>
      <c r="I146" s="754"/>
      <c r="J146" s="754"/>
      <c r="K146" s="463"/>
      <c r="L146" s="454" t="s">
        <v>262</v>
      </c>
      <c r="M146" s="455">
        <v>44563</v>
      </c>
      <c r="N146" s="455" t="s">
        <v>471</v>
      </c>
      <c r="O146" s="456" t="s">
        <v>301</v>
      </c>
      <c r="P146" s="456" t="s">
        <v>375</v>
      </c>
      <c r="Q146" s="468">
        <v>22000000</v>
      </c>
      <c r="R146" s="458"/>
      <c r="S146" s="496"/>
      <c r="T146" s="460" t="s">
        <v>271</v>
      </c>
      <c r="U146" s="432">
        <v>5822</v>
      </c>
      <c r="V146" s="433">
        <v>44579</v>
      </c>
      <c r="W146" s="419">
        <v>8000000</v>
      </c>
      <c r="X146" s="419">
        <v>12000000</v>
      </c>
      <c r="Y146" s="689">
        <f>+X146-AA146</f>
        <v>0</v>
      </c>
      <c r="Z146" s="689">
        <f>+Q146-X146</f>
        <v>10000000</v>
      </c>
      <c r="AA146" s="419">
        <v>12000000</v>
      </c>
      <c r="AB146" s="419">
        <f>(Q146-X146)</f>
        <v>10000000</v>
      </c>
      <c r="AG146" s="661"/>
    </row>
    <row r="147" spans="2:33" ht="30" outlineLevel="1" x14ac:dyDescent="0.2">
      <c r="B147" s="761"/>
      <c r="C147" s="756"/>
      <c r="D147" s="756"/>
      <c r="E147" s="756"/>
      <c r="F147" s="756"/>
      <c r="G147" s="756"/>
      <c r="H147" s="756"/>
      <c r="I147" s="756"/>
      <c r="J147" s="756"/>
      <c r="K147" s="463"/>
      <c r="L147" s="454" t="s">
        <v>263</v>
      </c>
      <c r="M147" s="455">
        <v>44563</v>
      </c>
      <c r="N147" s="455" t="s">
        <v>471</v>
      </c>
      <c r="O147" s="456" t="s">
        <v>301</v>
      </c>
      <c r="P147" s="456" t="s">
        <v>375</v>
      </c>
      <c r="Q147" s="468">
        <v>12000000</v>
      </c>
      <c r="R147" s="458"/>
      <c r="S147" s="459"/>
      <c r="T147" s="460" t="s">
        <v>646</v>
      </c>
      <c r="U147" s="432">
        <v>43122</v>
      </c>
      <c r="V147" s="433">
        <v>44690</v>
      </c>
      <c r="W147" s="419">
        <v>8221700</v>
      </c>
      <c r="X147" s="419">
        <v>8221700</v>
      </c>
      <c r="Y147" s="689">
        <f>+X147-AA147</f>
        <v>0</v>
      </c>
      <c r="Z147" s="689">
        <f>+Q147-X147</f>
        <v>3778300</v>
      </c>
      <c r="AA147" s="419">
        <v>8221700</v>
      </c>
      <c r="AB147" s="419">
        <f>(Q147-X147)</f>
        <v>3778300</v>
      </c>
      <c r="AG147" s="661"/>
    </row>
    <row r="148" spans="2:33" ht="15" customHeight="1" outlineLevel="1" x14ac:dyDescent="0.2">
      <c r="B148" s="761"/>
      <c r="C148" s="756"/>
      <c r="D148" s="756"/>
      <c r="E148" s="756"/>
      <c r="F148" s="756"/>
      <c r="G148" s="756"/>
      <c r="H148" s="756"/>
      <c r="I148" s="756"/>
      <c r="J148" s="756"/>
      <c r="K148" s="500"/>
      <c r="L148" s="454" t="s">
        <v>264</v>
      </c>
      <c r="M148" s="455" t="s">
        <v>375</v>
      </c>
      <c r="N148" s="455" t="s">
        <v>375</v>
      </c>
      <c r="O148" s="456" t="s">
        <v>375</v>
      </c>
      <c r="P148" s="456" t="s">
        <v>375</v>
      </c>
      <c r="Q148" s="468">
        <v>3900000</v>
      </c>
      <c r="R148" s="458"/>
      <c r="S148" s="496"/>
      <c r="T148" s="460"/>
      <c r="U148" s="432"/>
      <c r="V148" s="433"/>
      <c r="W148" s="419"/>
      <c r="X148" s="419"/>
      <c r="Y148" s="689">
        <f>+X148-AA148</f>
        <v>0</v>
      </c>
      <c r="Z148" s="689">
        <f>+Q148-X148</f>
        <v>3900000</v>
      </c>
      <c r="AA148" s="419"/>
      <c r="AB148" s="419">
        <f>(Q148-X148)</f>
        <v>3900000</v>
      </c>
      <c r="AG148" s="661"/>
    </row>
    <row r="149" spans="2:33" ht="15" customHeight="1" outlineLevel="1" x14ac:dyDescent="0.2">
      <c r="B149" s="446" t="s">
        <v>7</v>
      </c>
      <c r="C149" s="447" t="s">
        <v>20</v>
      </c>
      <c r="D149" s="447" t="s">
        <v>20</v>
      </c>
      <c r="E149" s="447" t="s">
        <v>20</v>
      </c>
      <c r="F149" s="447" t="s">
        <v>16</v>
      </c>
      <c r="G149" s="447" t="s">
        <v>12</v>
      </c>
      <c r="H149" s="447" t="s">
        <v>20</v>
      </c>
      <c r="I149" s="447"/>
      <c r="J149" s="449"/>
      <c r="K149" s="446"/>
      <c r="L149" s="643" t="s">
        <v>103</v>
      </c>
      <c r="M149" s="450"/>
      <c r="N149" s="450"/>
      <c r="O149" s="451"/>
      <c r="P149" s="451"/>
      <c r="Q149" s="621">
        <f>SUM(Q150:Q151)</f>
        <v>14595000</v>
      </c>
      <c r="R149" s="621">
        <f t="shared" ref="R149:S149" si="155">SUM(R150:R151)</f>
        <v>0</v>
      </c>
      <c r="S149" s="621">
        <f t="shared" si="155"/>
        <v>0</v>
      </c>
      <c r="T149" s="467"/>
      <c r="U149" s="662"/>
      <c r="V149" s="665"/>
      <c r="W149" s="684">
        <f t="shared" ref="W149:AB149" si="156">SUM(W150:W151)</f>
        <v>3023790</v>
      </c>
      <c r="X149" s="684">
        <f t="shared" si="156"/>
        <v>4751670</v>
      </c>
      <c r="Y149" s="684">
        <f>SUM(Y150:Y151)</f>
        <v>1727880</v>
      </c>
      <c r="Z149" s="684">
        <f>SUM(Z150:Z151)</f>
        <v>9843330</v>
      </c>
      <c r="AA149" s="684">
        <f t="shared" si="156"/>
        <v>3023790</v>
      </c>
      <c r="AB149" s="684">
        <f t="shared" si="156"/>
        <v>9843330</v>
      </c>
      <c r="AG149" s="661"/>
    </row>
    <row r="150" spans="2:33" ht="30" customHeight="1" outlineLevel="1" x14ac:dyDescent="0.2">
      <c r="B150" s="758"/>
      <c r="C150" s="754"/>
      <c r="D150" s="754"/>
      <c r="E150" s="754"/>
      <c r="F150" s="754"/>
      <c r="G150" s="754"/>
      <c r="H150" s="754"/>
      <c r="I150" s="754"/>
      <c r="J150" s="754"/>
      <c r="K150" s="463">
        <v>81112100</v>
      </c>
      <c r="L150" s="454" t="s">
        <v>594</v>
      </c>
      <c r="M150" s="455">
        <v>44571</v>
      </c>
      <c r="N150" s="455" t="s">
        <v>471</v>
      </c>
      <c r="O150" s="456" t="s">
        <v>565</v>
      </c>
      <c r="P150" s="456" t="s">
        <v>384</v>
      </c>
      <c r="Q150" s="468">
        <v>8295000</v>
      </c>
      <c r="R150" s="458" t="s">
        <v>322</v>
      </c>
      <c r="S150" s="459"/>
      <c r="T150" s="460" t="s">
        <v>181</v>
      </c>
      <c r="U150" s="432">
        <v>2422</v>
      </c>
      <c r="V150" s="433" t="s">
        <v>693</v>
      </c>
      <c r="W150" s="419">
        <v>3023790</v>
      </c>
      <c r="X150" s="419">
        <v>4751670</v>
      </c>
      <c r="Y150" s="689">
        <f>+X150-AA150</f>
        <v>1727880</v>
      </c>
      <c r="Z150" s="689">
        <f>+Q150-X150</f>
        <v>3543330</v>
      </c>
      <c r="AA150" s="419">
        <v>3023790</v>
      </c>
      <c r="AB150" s="419">
        <f>(Q150-X150)</f>
        <v>3543330</v>
      </c>
      <c r="AG150" s="661"/>
    </row>
    <row r="151" spans="2:33" ht="30" customHeight="1" outlineLevel="1" x14ac:dyDescent="0.2">
      <c r="B151" s="761"/>
      <c r="C151" s="756"/>
      <c r="D151" s="756"/>
      <c r="E151" s="756"/>
      <c r="F151" s="756"/>
      <c r="G151" s="756"/>
      <c r="H151" s="756"/>
      <c r="I151" s="756"/>
      <c r="J151" s="756"/>
      <c r="K151" s="463">
        <v>81112100</v>
      </c>
      <c r="L151" s="454" t="s">
        <v>593</v>
      </c>
      <c r="M151" s="455">
        <v>44571</v>
      </c>
      <c r="N151" s="455" t="s">
        <v>471</v>
      </c>
      <c r="O151" s="456" t="s">
        <v>565</v>
      </c>
      <c r="P151" s="456" t="s">
        <v>384</v>
      </c>
      <c r="Q151" s="468">
        <v>6300000</v>
      </c>
      <c r="R151" s="458" t="s">
        <v>322</v>
      </c>
      <c r="S151" s="468"/>
      <c r="T151" s="460" t="s">
        <v>181</v>
      </c>
      <c r="U151" s="432"/>
      <c r="V151" s="433"/>
      <c r="W151" s="419"/>
      <c r="X151" s="419"/>
      <c r="Y151" s="689">
        <f>+X151-AA151</f>
        <v>0</v>
      </c>
      <c r="Z151" s="689">
        <f>+Q151-X151</f>
        <v>6300000</v>
      </c>
      <c r="AA151" s="419"/>
      <c r="AB151" s="419">
        <f>(Q151-X151)</f>
        <v>6300000</v>
      </c>
      <c r="AG151" s="661"/>
    </row>
    <row r="152" spans="2:33" ht="30" customHeight="1" outlineLevel="1" x14ac:dyDescent="0.2">
      <c r="B152" s="440" t="s">
        <v>7</v>
      </c>
      <c r="C152" s="441" t="s">
        <v>20</v>
      </c>
      <c r="D152" s="441" t="s">
        <v>20</v>
      </c>
      <c r="E152" s="441" t="s">
        <v>20</v>
      </c>
      <c r="F152" s="441" t="s">
        <v>16</v>
      </c>
      <c r="G152" s="441" t="s">
        <v>15</v>
      </c>
      <c r="H152" s="441"/>
      <c r="I152" s="441"/>
      <c r="J152" s="442"/>
      <c r="K152" s="440"/>
      <c r="L152" s="642" t="s">
        <v>106</v>
      </c>
      <c r="M152" s="443"/>
      <c r="N152" s="443"/>
      <c r="O152" s="444"/>
      <c r="P152" s="444"/>
      <c r="Q152" s="620">
        <f>+Q153</f>
        <v>116302764</v>
      </c>
      <c r="R152" s="620">
        <f t="shared" ref="R152:S152" si="157">+R153</f>
        <v>0</v>
      </c>
      <c r="S152" s="620">
        <f t="shared" si="157"/>
        <v>31193040</v>
      </c>
      <c r="T152" s="445"/>
      <c r="U152" s="662"/>
      <c r="V152" s="665"/>
      <c r="W152" s="684">
        <f t="shared" ref="W152:AB152" si="158">+W153</f>
        <v>66849323</v>
      </c>
      <c r="X152" s="684">
        <f t="shared" si="158"/>
        <v>69849323</v>
      </c>
      <c r="Y152" s="684">
        <f>+Y153</f>
        <v>26200000</v>
      </c>
      <c r="Z152" s="684">
        <f>+Z153</f>
        <v>41620801</v>
      </c>
      <c r="AA152" s="684">
        <f t="shared" si="158"/>
        <v>43649323</v>
      </c>
      <c r="AB152" s="684">
        <f t="shared" si="158"/>
        <v>41620801</v>
      </c>
      <c r="AC152" s="674">
        <f>+AA152-'[1]Sheet1 (2)'!$M$75</f>
        <v>0</v>
      </c>
      <c r="AG152" s="661"/>
    </row>
    <row r="153" spans="2:33" ht="30" customHeight="1" outlineLevel="1" x14ac:dyDescent="0.2">
      <c r="B153" s="446" t="s">
        <v>7</v>
      </c>
      <c r="C153" s="447" t="s">
        <v>20</v>
      </c>
      <c r="D153" s="447" t="s">
        <v>20</v>
      </c>
      <c r="E153" s="447" t="s">
        <v>20</v>
      </c>
      <c r="F153" s="447" t="s">
        <v>16</v>
      </c>
      <c r="G153" s="447" t="s">
        <v>15</v>
      </c>
      <c r="H153" s="447" t="s">
        <v>8</v>
      </c>
      <c r="I153" s="447"/>
      <c r="J153" s="449"/>
      <c r="K153" s="446"/>
      <c r="L153" s="643" t="s">
        <v>107</v>
      </c>
      <c r="M153" s="450"/>
      <c r="N153" s="450"/>
      <c r="O153" s="451"/>
      <c r="P153" s="451"/>
      <c r="Q153" s="621">
        <f>+Q154+Q156+Q161</f>
        <v>116302764</v>
      </c>
      <c r="R153" s="621">
        <f t="shared" ref="R153:S153" si="159">+R154+R156+R161</f>
        <v>0</v>
      </c>
      <c r="S153" s="621">
        <f t="shared" si="159"/>
        <v>31193040</v>
      </c>
      <c r="T153" s="467"/>
      <c r="U153" s="670"/>
      <c r="V153" s="665"/>
      <c r="W153" s="684">
        <f t="shared" ref="W153:AB153" si="160">+W154+W156+W161</f>
        <v>66849323</v>
      </c>
      <c r="X153" s="684">
        <f t="shared" si="160"/>
        <v>69849323</v>
      </c>
      <c r="Y153" s="684">
        <f>+Y154+Y156+Y161</f>
        <v>26200000</v>
      </c>
      <c r="Z153" s="684">
        <f>+Z154+Z156+Z161</f>
        <v>41620801</v>
      </c>
      <c r="AA153" s="684">
        <f t="shared" si="160"/>
        <v>43649323</v>
      </c>
      <c r="AB153" s="684">
        <f t="shared" si="160"/>
        <v>41620801</v>
      </c>
      <c r="AG153" s="661"/>
    </row>
    <row r="154" spans="2:33" ht="30" customHeight="1" outlineLevel="1" x14ac:dyDescent="0.2">
      <c r="B154" s="446" t="s">
        <v>7</v>
      </c>
      <c r="C154" s="447" t="s">
        <v>20</v>
      </c>
      <c r="D154" s="447" t="s">
        <v>20</v>
      </c>
      <c r="E154" s="447" t="s">
        <v>20</v>
      </c>
      <c r="F154" s="447" t="s">
        <v>16</v>
      </c>
      <c r="G154" s="447" t="s">
        <v>15</v>
      </c>
      <c r="H154" s="447" t="s">
        <v>8</v>
      </c>
      <c r="I154" s="447" t="s">
        <v>32</v>
      </c>
      <c r="J154" s="449"/>
      <c r="K154" s="446"/>
      <c r="L154" s="643" t="s">
        <v>136</v>
      </c>
      <c r="M154" s="450"/>
      <c r="N154" s="450"/>
      <c r="O154" s="451"/>
      <c r="P154" s="451"/>
      <c r="Q154" s="621">
        <f>SUM(Q155:Q155)</f>
        <v>23500000</v>
      </c>
      <c r="R154" s="621">
        <f t="shared" ref="R154:S154" si="161">SUM(R155:R155)</f>
        <v>0</v>
      </c>
      <c r="S154" s="621">
        <f t="shared" si="161"/>
        <v>0</v>
      </c>
      <c r="T154" s="467"/>
      <c r="U154" s="671"/>
      <c r="V154" s="665"/>
      <c r="W154" s="684">
        <f t="shared" ref="W154:AB154" si="162">SUM(W155:W155)</f>
        <v>0</v>
      </c>
      <c r="X154" s="684">
        <f t="shared" si="162"/>
        <v>0</v>
      </c>
      <c r="Y154" s="684">
        <f>SUM(Y155:Y155)</f>
        <v>0</v>
      </c>
      <c r="Z154" s="684">
        <f>SUM(Z155:Z155)</f>
        <v>23500000</v>
      </c>
      <c r="AA154" s="684">
        <f t="shared" si="162"/>
        <v>0</v>
      </c>
      <c r="AB154" s="684">
        <f t="shared" si="162"/>
        <v>23500000</v>
      </c>
      <c r="AG154" s="661"/>
    </row>
    <row r="155" spans="2:33" ht="75" outlineLevel="1" x14ac:dyDescent="0.2">
      <c r="B155" s="758"/>
      <c r="C155" s="754"/>
      <c r="D155" s="754"/>
      <c r="E155" s="754"/>
      <c r="F155" s="754"/>
      <c r="G155" s="754"/>
      <c r="H155" s="754"/>
      <c r="I155" s="754"/>
      <c r="J155" s="754"/>
      <c r="K155" s="453"/>
      <c r="L155" s="454" t="s">
        <v>566</v>
      </c>
      <c r="M155" s="455">
        <v>44602</v>
      </c>
      <c r="N155" s="455" t="s">
        <v>469</v>
      </c>
      <c r="O155" s="456" t="s">
        <v>326</v>
      </c>
      <c r="P155" s="456" t="s">
        <v>318</v>
      </c>
      <c r="Q155" s="468">
        <v>23500000</v>
      </c>
      <c r="R155" s="458" t="s">
        <v>350</v>
      </c>
      <c r="S155" s="459"/>
      <c r="T155" s="460" t="s">
        <v>181</v>
      </c>
      <c r="U155" s="501"/>
      <c r="V155" s="433"/>
      <c r="W155" s="419"/>
      <c r="X155" s="419"/>
      <c r="Y155" s="689">
        <f>+X155-AA155</f>
        <v>0</v>
      </c>
      <c r="Z155" s="689">
        <f>+Q155-X155</f>
        <v>23500000</v>
      </c>
      <c r="AA155" s="419"/>
      <c r="AB155" s="419">
        <f>(Q155-X155)</f>
        <v>23500000</v>
      </c>
      <c r="AG155" s="661"/>
    </row>
    <row r="156" spans="2:33" ht="30" customHeight="1" outlineLevel="1" x14ac:dyDescent="0.2">
      <c r="B156" s="446" t="s">
        <v>7</v>
      </c>
      <c r="C156" s="447" t="s">
        <v>20</v>
      </c>
      <c r="D156" s="447" t="s">
        <v>20</v>
      </c>
      <c r="E156" s="447" t="s">
        <v>20</v>
      </c>
      <c r="F156" s="447" t="s">
        <v>16</v>
      </c>
      <c r="G156" s="447" t="s">
        <v>15</v>
      </c>
      <c r="H156" s="447" t="s">
        <v>8</v>
      </c>
      <c r="I156" s="447" t="s">
        <v>33</v>
      </c>
      <c r="J156" s="449"/>
      <c r="K156" s="446"/>
      <c r="L156" s="643" t="s">
        <v>137</v>
      </c>
      <c r="M156" s="450"/>
      <c r="N156" s="450"/>
      <c r="O156" s="451"/>
      <c r="P156" s="451"/>
      <c r="Q156" s="621">
        <f>SUM(Q157:Q160)</f>
        <v>41758709</v>
      </c>
      <c r="R156" s="621">
        <f t="shared" ref="R156:S156" si="163">SUM(R157:R160)</f>
        <v>0</v>
      </c>
      <c r="S156" s="621">
        <f t="shared" si="163"/>
        <v>19622160</v>
      </c>
      <c r="T156" s="467"/>
      <c r="U156" s="672"/>
      <c r="V156" s="665"/>
      <c r="W156" s="684">
        <f t="shared" ref="W156:AB156" si="164">SUM(W157:W160)</f>
        <v>33847850</v>
      </c>
      <c r="X156" s="684">
        <f t="shared" si="164"/>
        <v>33847850</v>
      </c>
      <c r="Y156" s="684">
        <f>SUM(Y157:Y160)</f>
        <v>1200000</v>
      </c>
      <c r="Z156" s="684">
        <f>SUM(Z157:Z160)</f>
        <v>7910859</v>
      </c>
      <c r="AA156" s="684">
        <f t="shared" si="164"/>
        <v>32647850</v>
      </c>
      <c r="AB156" s="684">
        <f t="shared" si="164"/>
        <v>7910859</v>
      </c>
      <c r="AG156" s="661"/>
    </row>
    <row r="157" spans="2:33" ht="75" outlineLevel="1" x14ac:dyDescent="0.2">
      <c r="B157" s="758"/>
      <c r="C157" s="754"/>
      <c r="D157" s="754"/>
      <c r="E157" s="754"/>
      <c r="F157" s="754"/>
      <c r="G157" s="754"/>
      <c r="H157" s="754"/>
      <c r="I157" s="754"/>
      <c r="J157" s="754"/>
      <c r="K157" s="453" t="s">
        <v>315</v>
      </c>
      <c r="L157" s="454" t="s">
        <v>642</v>
      </c>
      <c r="M157" s="455">
        <v>44581</v>
      </c>
      <c r="N157" s="455" t="s">
        <v>471</v>
      </c>
      <c r="O157" s="456" t="s">
        <v>647</v>
      </c>
      <c r="P157" s="455" t="s">
        <v>543</v>
      </c>
      <c r="Q157" s="468">
        <f>13247850+2621454</f>
        <v>15869304</v>
      </c>
      <c r="R157" s="458" t="s">
        <v>350</v>
      </c>
      <c r="S157" s="459"/>
      <c r="T157" s="460" t="s">
        <v>221</v>
      </c>
      <c r="U157" s="432">
        <v>7222</v>
      </c>
      <c r="V157" s="746">
        <v>44580</v>
      </c>
      <c r="W157" s="419">
        <f>13247850+600000</f>
        <v>13847850</v>
      </c>
      <c r="X157" s="419">
        <f>13247850+600000</f>
        <v>13847850</v>
      </c>
      <c r="Y157" s="689">
        <f>+X157-AA157</f>
        <v>1200000</v>
      </c>
      <c r="Z157" s="689">
        <f>+Q157-X157</f>
        <v>2021454</v>
      </c>
      <c r="AA157" s="419">
        <v>12647850</v>
      </c>
      <c r="AB157" s="419">
        <f>(Q157-X157)</f>
        <v>2021454</v>
      </c>
      <c r="AG157" s="661"/>
    </row>
    <row r="158" spans="2:33" ht="60" outlineLevel="1" x14ac:dyDescent="0.2">
      <c r="B158" s="761"/>
      <c r="C158" s="756"/>
      <c r="D158" s="756"/>
      <c r="E158" s="756"/>
      <c r="F158" s="756"/>
      <c r="G158" s="756"/>
      <c r="H158" s="756"/>
      <c r="I158" s="756"/>
      <c r="J158" s="756"/>
      <c r="K158" s="453" t="s">
        <v>588</v>
      </c>
      <c r="L158" s="454" t="s">
        <v>589</v>
      </c>
      <c r="M158" s="455">
        <v>44581</v>
      </c>
      <c r="N158" s="455" t="s">
        <v>471</v>
      </c>
      <c r="O158" s="456" t="s">
        <v>647</v>
      </c>
      <c r="P158" s="455" t="s">
        <v>543</v>
      </c>
      <c r="Q158" s="468">
        <v>600000</v>
      </c>
      <c r="R158" s="458"/>
      <c r="S158" s="468"/>
      <c r="T158" s="460" t="s">
        <v>221</v>
      </c>
      <c r="U158" s="432">
        <v>7222</v>
      </c>
      <c r="V158" s="747"/>
      <c r="W158" s="419"/>
      <c r="X158" s="419"/>
      <c r="Y158" s="689">
        <f>+X158-AA158</f>
        <v>0</v>
      </c>
      <c r="Z158" s="689">
        <f>+Q158-X158</f>
        <v>600000</v>
      </c>
      <c r="AA158" s="419"/>
      <c r="AB158" s="419">
        <f>(Q158-X158)</f>
        <v>600000</v>
      </c>
      <c r="AG158" s="661"/>
    </row>
    <row r="159" spans="2:33" ht="72" customHeight="1" outlineLevel="1" x14ac:dyDescent="0.2">
      <c r="B159" s="761"/>
      <c r="C159" s="756"/>
      <c r="D159" s="756"/>
      <c r="E159" s="756"/>
      <c r="F159" s="756"/>
      <c r="G159" s="756"/>
      <c r="H159" s="756"/>
      <c r="I159" s="756"/>
      <c r="J159" s="756"/>
      <c r="K159" s="453" t="s">
        <v>315</v>
      </c>
      <c r="L159" s="454" t="s">
        <v>598</v>
      </c>
      <c r="M159" s="455" t="s">
        <v>648</v>
      </c>
      <c r="N159" s="455" t="s">
        <v>525</v>
      </c>
      <c r="O159" s="456" t="s">
        <v>299</v>
      </c>
      <c r="P159" s="456" t="s">
        <v>317</v>
      </c>
      <c r="Q159" s="468">
        <f>7910859-2621454</f>
        <v>5289405</v>
      </c>
      <c r="R159" s="458" t="s">
        <v>322</v>
      </c>
      <c r="S159" s="457">
        <v>19622160</v>
      </c>
      <c r="T159" s="460" t="s">
        <v>221</v>
      </c>
      <c r="U159" s="432"/>
      <c r="V159" s="433"/>
      <c r="W159" s="419"/>
      <c r="X159" s="419"/>
      <c r="Y159" s="689">
        <f>+X159-AA159</f>
        <v>0</v>
      </c>
      <c r="Z159" s="689">
        <f>+Q159-X159</f>
        <v>5289405</v>
      </c>
      <c r="AA159" s="419"/>
      <c r="AB159" s="419">
        <f>(Q159-X159)</f>
        <v>5289405</v>
      </c>
      <c r="AG159" s="661"/>
    </row>
    <row r="160" spans="2:33" ht="72" customHeight="1" outlineLevel="1" x14ac:dyDescent="0.2">
      <c r="B160" s="761"/>
      <c r="C160" s="756"/>
      <c r="D160" s="756"/>
      <c r="E160" s="756"/>
      <c r="F160" s="756"/>
      <c r="G160" s="756"/>
      <c r="H160" s="756"/>
      <c r="I160" s="756"/>
      <c r="J160" s="756"/>
      <c r="K160" s="453" t="s">
        <v>631</v>
      </c>
      <c r="L160" s="454" t="s">
        <v>265</v>
      </c>
      <c r="M160" s="455">
        <v>44582</v>
      </c>
      <c r="N160" s="455" t="s">
        <v>469</v>
      </c>
      <c r="O160" s="456" t="s">
        <v>301</v>
      </c>
      <c r="P160" s="456" t="s">
        <v>318</v>
      </c>
      <c r="Q160" s="468">
        <v>20000000</v>
      </c>
      <c r="R160" s="458"/>
      <c r="S160" s="459"/>
      <c r="T160" s="460" t="s">
        <v>569</v>
      </c>
      <c r="U160" s="432">
        <v>3322</v>
      </c>
      <c r="V160" s="433">
        <v>44573</v>
      </c>
      <c r="W160" s="419">
        <v>20000000</v>
      </c>
      <c r="X160" s="419">
        <v>20000000</v>
      </c>
      <c r="Y160" s="689">
        <f>+X160-AA160</f>
        <v>0</v>
      </c>
      <c r="Z160" s="689">
        <f>+Q160-X160</f>
        <v>0</v>
      </c>
      <c r="AA160" s="419">
        <v>20000000</v>
      </c>
      <c r="AB160" s="419">
        <f>(Q160-X160)</f>
        <v>0</v>
      </c>
      <c r="AG160" s="661"/>
    </row>
    <row r="161" spans="2:33" ht="30" customHeight="1" outlineLevel="1" x14ac:dyDescent="0.2">
      <c r="B161" s="446" t="s">
        <v>7</v>
      </c>
      <c r="C161" s="447" t="s">
        <v>20</v>
      </c>
      <c r="D161" s="447" t="s">
        <v>20</v>
      </c>
      <c r="E161" s="447" t="s">
        <v>20</v>
      </c>
      <c r="F161" s="447" t="s">
        <v>16</v>
      </c>
      <c r="G161" s="447" t="s">
        <v>15</v>
      </c>
      <c r="H161" s="447" t="s">
        <v>8</v>
      </c>
      <c r="I161" s="447" t="s">
        <v>34</v>
      </c>
      <c r="J161" s="449"/>
      <c r="K161" s="446"/>
      <c r="L161" s="643" t="s">
        <v>108</v>
      </c>
      <c r="M161" s="450"/>
      <c r="N161" s="450"/>
      <c r="O161" s="451"/>
      <c r="P161" s="451"/>
      <c r="Q161" s="621">
        <f>SUM(Q162:Q167)</f>
        <v>51044055</v>
      </c>
      <c r="R161" s="621">
        <f t="shared" ref="R161:S161" si="165">SUM(R162:R167)</f>
        <v>0</v>
      </c>
      <c r="S161" s="621">
        <f t="shared" si="165"/>
        <v>11570880</v>
      </c>
      <c r="T161" s="467"/>
      <c r="U161" s="662"/>
      <c r="V161" s="665"/>
      <c r="W161" s="684">
        <f t="shared" ref="W161:AB161" si="166">SUM(W162:W167)</f>
        <v>33001473</v>
      </c>
      <c r="X161" s="684">
        <f t="shared" si="166"/>
        <v>36001473</v>
      </c>
      <c r="Y161" s="684">
        <f>SUM(Y162:Y167)</f>
        <v>25000000</v>
      </c>
      <c r="Z161" s="684">
        <f>SUM(Z162:Z167)</f>
        <v>10209942</v>
      </c>
      <c r="AA161" s="684">
        <f t="shared" si="166"/>
        <v>11001473</v>
      </c>
      <c r="AB161" s="684">
        <f t="shared" si="166"/>
        <v>10209942</v>
      </c>
      <c r="AG161" s="661"/>
    </row>
    <row r="162" spans="2:33" ht="60" outlineLevel="1" x14ac:dyDescent="0.2">
      <c r="B162" s="758"/>
      <c r="C162" s="754"/>
      <c r="D162" s="754"/>
      <c r="E162" s="754"/>
      <c r="F162" s="754"/>
      <c r="G162" s="754"/>
      <c r="H162" s="754"/>
      <c r="I162" s="754"/>
      <c r="J162" s="754"/>
      <c r="K162" s="453" t="s">
        <v>316</v>
      </c>
      <c r="L162" s="454" t="s">
        <v>499</v>
      </c>
      <c r="M162" s="455">
        <v>44713</v>
      </c>
      <c r="N162" s="455" t="s">
        <v>572</v>
      </c>
      <c r="O162" s="456" t="s">
        <v>337</v>
      </c>
      <c r="P162" s="456" t="s">
        <v>645</v>
      </c>
      <c r="Q162" s="457">
        <v>5300000</v>
      </c>
      <c r="R162" s="458" t="s">
        <v>350</v>
      </c>
      <c r="S162" s="459"/>
      <c r="T162" s="460" t="s">
        <v>221</v>
      </c>
      <c r="U162" s="432"/>
      <c r="V162" s="433"/>
      <c r="W162" s="419"/>
      <c r="X162" s="419"/>
      <c r="Y162" s="689">
        <f>+X162-AA162</f>
        <v>0</v>
      </c>
      <c r="Z162" s="689">
        <f>+Q162-X162</f>
        <v>5300000</v>
      </c>
      <c r="AA162" s="419"/>
      <c r="AB162" s="419">
        <f>(Q162-X162)</f>
        <v>5300000</v>
      </c>
      <c r="AG162" s="661"/>
    </row>
    <row r="163" spans="2:33" ht="75" outlineLevel="1" x14ac:dyDescent="0.2">
      <c r="B163" s="479"/>
      <c r="C163" s="480"/>
      <c r="D163" s="480"/>
      <c r="E163" s="480"/>
      <c r="F163" s="480"/>
      <c r="G163" s="480"/>
      <c r="H163" s="480"/>
      <c r="I163" s="480"/>
      <c r="J163" s="480"/>
      <c r="K163" s="453">
        <v>72154100</v>
      </c>
      <c r="L163" s="454" t="s">
        <v>599</v>
      </c>
      <c r="M163" s="455">
        <v>44640</v>
      </c>
      <c r="N163" s="455" t="s">
        <v>466</v>
      </c>
      <c r="O163" s="455" t="s">
        <v>301</v>
      </c>
      <c r="P163" s="455" t="s">
        <v>543</v>
      </c>
      <c r="Q163" s="457">
        <f>13060170-3000000-4832640</f>
        <v>5227530</v>
      </c>
      <c r="R163" s="458" t="s">
        <v>322</v>
      </c>
      <c r="S163" s="457">
        <v>11570880</v>
      </c>
      <c r="T163" s="460" t="s">
        <v>221</v>
      </c>
      <c r="U163" s="432"/>
      <c r="V163" s="433"/>
      <c r="W163" s="419"/>
      <c r="X163" s="419"/>
      <c r="Y163" s="689">
        <f>+X163-AA163</f>
        <v>0</v>
      </c>
      <c r="Z163" s="689">
        <f>+Q163-X163</f>
        <v>5227530</v>
      </c>
      <c r="AA163" s="419"/>
      <c r="AB163" s="419">
        <f>(Q163-X163)</f>
        <v>5227530</v>
      </c>
      <c r="AG163" s="661"/>
    </row>
    <row r="164" spans="2:33" ht="90" outlineLevel="1" x14ac:dyDescent="0.2">
      <c r="B164" s="479"/>
      <c r="C164" s="480"/>
      <c r="D164" s="480"/>
      <c r="E164" s="480"/>
      <c r="F164" s="480"/>
      <c r="G164" s="480"/>
      <c r="H164" s="480"/>
      <c r="I164" s="480"/>
      <c r="J164" s="480"/>
      <c r="K164" s="453">
        <v>72154100</v>
      </c>
      <c r="L164" s="454" t="s">
        <v>600</v>
      </c>
      <c r="M164" s="455" t="s">
        <v>649</v>
      </c>
      <c r="N164" s="455" t="s">
        <v>649</v>
      </c>
      <c r="O164" s="455" t="s">
        <v>649</v>
      </c>
      <c r="P164" s="455" t="s">
        <v>649</v>
      </c>
      <c r="Q164" s="468">
        <f>4483885+3000000</f>
        <v>7483885</v>
      </c>
      <c r="R164" s="458" t="s">
        <v>350</v>
      </c>
      <c r="S164" s="459"/>
      <c r="T164" s="460" t="s">
        <v>221</v>
      </c>
      <c r="U164" s="432">
        <v>2722</v>
      </c>
      <c r="V164" s="433">
        <v>44572</v>
      </c>
      <c r="W164" s="419">
        <v>4483885</v>
      </c>
      <c r="X164" s="419">
        <f>7483885</f>
        <v>7483885</v>
      </c>
      <c r="Y164" s="692">
        <f>+X164-AA164</f>
        <v>0</v>
      </c>
      <c r="Z164" s="689">
        <f>+Q164-X164</f>
        <v>0</v>
      </c>
      <c r="AA164" s="419">
        <v>7483885</v>
      </c>
      <c r="AB164" s="419">
        <f>(Q164-X164)</f>
        <v>0</v>
      </c>
      <c r="AG164" s="661"/>
    </row>
    <row r="165" spans="2:33" ht="60" outlineLevel="1" x14ac:dyDescent="0.2">
      <c r="B165" s="479"/>
      <c r="C165" s="480"/>
      <c r="D165" s="480"/>
      <c r="E165" s="480"/>
      <c r="F165" s="480"/>
      <c r="G165" s="480"/>
      <c r="H165" s="480"/>
      <c r="I165" s="480"/>
      <c r="J165" s="480"/>
      <c r="K165" s="453">
        <v>72154100</v>
      </c>
      <c r="L165" s="454" t="s">
        <v>601</v>
      </c>
      <c r="M165" s="455">
        <v>44652</v>
      </c>
      <c r="N165" s="455" t="s">
        <v>525</v>
      </c>
      <c r="O165" s="456" t="s">
        <v>331</v>
      </c>
      <c r="P165" s="456" t="s">
        <v>552</v>
      </c>
      <c r="Q165" s="457">
        <v>25000000</v>
      </c>
      <c r="R165" s="458" t="s">
        <v>386</v>
      </c>
      <c r="S165" s="459"/>
      <c r="T165" s="460" t="s">
        <v>221</v>
      </c>
      <c r="U165" s="432">
        <v>29622</v>
      </c>
      <c r="V165" s="433">
        <v>44642</v>
      </c>
      <c r="W165" s="419">
        <v>25000000</v>
      </c>
      <c r="X165" s="419">
        <v>25000000</v>
      </c>
      <c r="Y165" s="689">
        <f>+X165-AA165</f>
        <v>25000000</v>
      </c>
      <c r="Z165" s="689">
        <f>+Q165-X165</f>
        <v>0</v>
      </c>
      <c r="AA165" s="419"/>
      <c r="AB165" s="419">
        <f>(Q165-X165)</f>
        <v>0</v>
      </c>
      <c r="AG165" s="661"/>
    </row>
    <row r="166" spans="2:33" ht="75" outlineLevel="1" x14ac:dyDescent="0.2">
      <c r="B166" s="691"/>
      <c r="C166" s="690"/>
      <c r="D166" s="690"/>
      <c r="E166" s="690"/>
      <c r="F166" s="690"/>
      <c r="G166" s="690"/>
      <c r="H166" s="690"/>
      <c r="I166" s="690"/>
      <c r="J166" s="690"/>
      <c r="K166" s="453">
        <v>72154100</v>
      </c>
      <c r="L166" s="454" t="s">
        <v>706</v>
      </c>
      <c r="M166" s="455">
        <v>44757</v>
      </c>
      <c r="N166" s="455" t="s">
        <v>713</v>
      </c>
      <c r="O166" s="456" t="s">
        <v>332</v>
      </c>
      <c r="P166" s="455" t="s">
        <v>543</v>
      </c>
      <c r="Q166" s="457">
        <v>4832640</v>
      </c>
      <c r="R166" s="458"/>
      <c r="S166" s="459"/>
      <c r="T166" s="460" t="s">
        <v>221</v>
      </c>
      <c r="U166" s="432"/>
      <c r="V166" s="433"/>
      <c r="W166" s="419"/>
      <c r="X166" s="419"/>
      <c r="Y166" s="689"/>
      <c r="Z166" s="689"/>
      <c r="AA166" s="419"/>
      <c r="AB166" s="419"/>
      <c r="AG166" s="661"/>
    </row>
    <row r="167" spans="2:33" outlineLevel="1" x14ac:dyDescent="0.2">
      <c r="B167" s="761"/>
      <c r="C167" s="756"/>
      <c r="D167" s="756"/>
      <c r="E167" s="756"/>
      <c r="F167" s="756"/>
      <c r="G167" s="756"/>
      <c r="H167" s="756"/>
      <c r="I167" s="756"/>
      <c r="J167" s="756"/>
      <c r="K167" s="463"/>
      <c r="L167" s="454" t="s">
        <v>266</v>
      </c>
      <c r="M167" s="455"/>
      <c r="N167" s="455"/>
      <c r="O167" s="456"/>
      <c r="P167" s="456"/>
      <c r="Q167" s="468">
        <v>3200000</v>
      </c>
      <c r="R167" s="458"/>
      <c r="S167" s="459"/>
      <c r="T167" s="460"/>
      <c r="U167" s="432" t="s">
        <v>704</v>
      </c>
      <c r="V167" s="433"/>
      <c r="W167" s="419">
        <f>1500000+622480+452376+942732</f>
        <v>3517588</v>
      </c>
      <c r="X167" s="419">
        <v>3517588</v>
      </c>
      <c r="Y167" s="689">
        <f>+X167-AA167</f>
        <v>0</v>
      </c>
      <c r="Z167" s="689">
        <f>+Q167-X167</f>
        <v>-317588</v>
      </c>
      <c r="AA167" s="419">
        <v>3517588</v>
      </c>
      <c r="AB167" s="419">
        <f>(Q167-X167)</f>
        <v>-317588</v>
      </c>
      <c r="AG167" s="661"/>
    </row>
    <row r="168" spans="2:33" ht="15" customHeight="1" outlineLevel="1" x14ac:dyDescent="0.2">
      <c r="B168" s="434" t="s">
        <v>7</v>
      </c>
      <c r="C168" s="435" t="s">
        <v>20</v>
      </c>
      <c r="D168" s="435" t="s">
        <v>20</v>
      </c>
      <c r="E168" s="435" t="s">
        <v>20</v>
      </c>
      <c r="F168" s="435" t="s">
        <v>17</v>
      </c>
      <c r="G168" s="435"/>
      <c r="H168" s="435"/>
      <c r="I168" s="435"/>
      <c r="J168" s="436"/>
      <c r="K168" s="434"/>
      <c r="L168" s="641" t="s">
        <v>111</v>
      </c>
      <c r="M168" s="437"/>
      <c r="N168" s="437"/>
      <c r="O168" s="438"/>
      <c r="P168" s="438"/>
      <c r="Q168" s="619">
        <f>+Q169+Q181+Q173+Q177</f>
        <v>458800000</v>
      </c>
      <c r="R168" s="619">
        <f t="shared" ref="R168:S168" si="167">+R169+R181+R173+R177</f>
        <v>0</v>
      </c>
      <c r="S168" s="619">
        <f t="shared" si="167"/>
        <v>0</v>
      </c>
      <c r="T168" s="439"/>
      <c r="U168" s="662"/>
      <c r="V168" s="665"/>
      <c r="W168" s="684">
        <f t="shared" ref="W168:AB168" si="168">+W169+W181+W173+W177</f>
        <v>133289625</v>
      </c>
      <c r="X168" s="684">
        <f t="shared" si="168"/>
        <v>125035125</v>
      </c>
      <c r="Y168" s="684">
        <f>+Y169+Y181+Y173+Y177</f>
        <v>20000000</v>
      </c>
      <c r="Z168" s="684">
        <f>+Z169+Z181+Z173+Z177</f>
        <v>333764875</v>
      </c>
      <c r="AA168" s="684">
        <f t="shared" si="168"/>
        <v>105035125</v>
      </c>
      <c r="AB168" s="684">
        <f t="shared" si="168"/>
        <v>333764875</v>
      </c>
      <c r="AG168" s="661"/>
    </row>
    <row r="169" spans="2:33" ht="15" customHeight="1" outlineLevel="1" x14ac:dyDescent="0.2">
      <c r="B169" s="440" t="s">
        <v>7</v>
      </c>
      <c r="C169" s="441" t="s">
        <v>20</v>
      </c>
      <c r="D169" s="441" t="s">
        <v>20</v>
      </c>
      <c r="E169" s="441" t="s">
        <v>20</v>
      </c>
      <c r="F169" s="441" t="s">
        <v>17</v>
      </c>
      <c r="G169" s="441" t="s">
        <v>10</v>
      </c>
      <c r="H169" s="441"/>
      <c r="I169" s="441"/>
      <c r="J169" s="442"/>
      <c r="K169" s="440"/>
      <c r="L169" s="642" t="s">
        <v>112</v>
      </c>
      <c r="M169" s="443"/>
      <c r="N169" s="443"/>
      <c r="O169" s="444"/>
      <c r="P169" s="444"/>
      <c r="Q169" s="620">
        <f>+Q170</f>
        <v>55000000</v>
      </c>
      <c r="R169" s="620">
        <f t="shared" ref="R169:S169" si="169">+R170</f>
        <v>0</v>
      </c>
      <c r="S169" s="620">
        <f t="shared" si="169"/>
        <v>0</v>
      </c>
      <c r="T169" s="445"/>
      <c r="U169" s="662"/>
      <c r="V169" s="665"/>
      <c r="W169" s="684">
        <f t="shared" ref="W169:AB169" si="170">+W170</f>
        <v>0</v>
      </c>
      <c r="X169" s="684">
        <f t="shared" si="170"/>
        <v>0</v>
      </c>
      <c r="Y169" s="684">
        <f>+Y170</f>
        <v>0</v>
      </c>
      <c r="Z169" s="684">
        <f>+Z170</f>
        <v>55000000</v>
      </c>
      <c r="AA169" s="684">
        <f t="shared" si="170"/>
        <v>0</v>
      </c>
      <c r="AB169" s="684">
        <f t="shared" si="170"/>
        <v>55000000</v>
      </c>
      <c r="AG169" s="661"/>
    </row>
    <row r="170" spans="2:33" ht="15" customHeight="1" outlineLevel="1" x14ac:dyDescent="0.2">
      <c r="B170" s="446" t="s">
        <v>7</v>
      </c>
      <c r="C170" s="447" t="s">
        <v>20</v>
      </c>
      <c r="D170" s="447" t="s">
        <v>20</v>
      </c>
      <c r="E170" s="447" t="s">
        <v>20</v>
      </c>
      <c r="F170" s="447" t="s">
        <v>17</v>
      </c>
      <c r="G170" s="447" t="s">
        <v>10</v>
      </c>
      <c r="H170" s="447" t="s">
        <v>31</v>
      </c>
      <c r="I170" s="447"/>
      <c r="J170" s="449"/>
      <c r="K170" s="446"/>
      <c r="L170" s="643" t="s">
        <v>113</v>
      </c>
      <c r="M170" s="450"/>
      <c r="N170" s="450"/>
      <c r="O170" s="451"/>
      <c r="P170" s="451"/>
      <c r="Q170" s="621">
        <f>SUM(Q171:Q172)</f>
        <v>55000000</v>
      </c>
      <c r="R170" s="621">
        <f t="shared" ref="R170:S170" si="171">SUM(R171:R172)</f>
        <v>0</v>
      </c>
      <c r="S170" s="621">
        <f t="shared" si="171"/>
        <v>0</v>
      </c>
      <c r="T170" s="467"/>
      <c r="U170" s="662"/>
      <c r="V170" s="665"/>
      <c r="W170" s="684">
        <f t="shared" ref="W170:AB170" si="172">SUM(W171:W172)</f>
        <v>0</v>
      </c>
      <c r="X170" s="684">
        <f t="shared" si="172"/>
        <v>0</v>
      </c>
      <c r="Y170" s="684">
        <f>SUM(Y171:Y172)</f>
        <v>0</v>
      </c>
      <c r="Z170" s="684">
        <f>SUM(Z171:Z172)</f>
        <v>55000000</v>
      </c>
      <c r="AA170" s="684">
        <f t="shared" si="172"/>
        <v>0</v>
      </c>
      <c r="AB170" s="684">
        <f t="shared" si="172"/>
        <v>55000000</v>
      </c>
      <c r="AG170" s="661"/>
    </row>
    <row r="171" spans="2:33" ht="30" outlineLevel="1" x14ac:dyDescent="0.2">
      <c r="B171" s="758"/>
      <c r="C171" s="754"/>
      <c r="D171" s="754"/>
      <c r="E171" s="754"/>
      <c r="F171" s="754"/>
      <c r="G171" s="754"/>
      <c r="H171" s="754"/>
      <c r="I171" s="754"/>
      <c r="J171" s="754"/>
      <c r="K171" s="453" t="s">
        <v>524</v>
      </c>
      <c r="L171" s="454" t="s">
        <v>618</v>
      </c>
      <c r="M171" s="455">
        <v>44573</v>
      </c>
      <c r="N171" s="455" t="s">
        <v>471</v>
      </c>
      <c r="O171" s="456" t="s">
        <v>526</v>
      </c>
      <c r="P171" s="456" t="s">
        <v>338</v>
      </c>
      <c r="Q171" s="468">
        <v>40000000</v>
      </c>
      <c r="R171" s="458"/>
      <c r="S171" s="459"/>
      <c r="T171" s="460" t="s">
        <v>194</v>
      </c>
      <c r="U171" s="432"/>
      <c r="V171" s="433"/>
      <c r="W171" s="419"/>
      <c r="X171" s="419"/>
      <c r="Y171" s="689">
        <f>+X171-AA171</f>
        <v>0</v>
      </c>
      <c r="Z171" s="689">
        <f>+Q171-X171</f>
        <v>40000000</v>
      </c>
      <c r="AA171" s="419"/>
      <c r="AB171" s="419">
        <f>(Q171-X171)</f>
        <v>40000000</v>
      </c>
      <c r="AG171" s="661"/>
    </row>
    <row r="172" spans="2:33" ht="15" customHeight="1" outlineLevel="1" x14ac:dyDescent="0.2">
      <c r="B172" s="761"/>
      <c r="C172" s="756"/>
      <c r="D172" s="756"/>
      <c r="E172" s="756"/>
      <c r="F172" s="756"/>
      <c r="G172" s="756"/>
      <c r="H172" s="756"/>
      <c r="I172" s="756"/>
      <c r="J172" s="756"/>
      <c r="K172" s="463"/>
      <c r="L172" s="454" t="s">
        <v>191</v>
      </c>
      <c r="M172" s="455">
        <v>44576</v>
      </c>
      <c r="N172" s="456" t="s">
        <v>375</v>
      </c>
      <c r="O172" s="456" t="s">
        <v>375</v>
      </c>
      <c r="P172" s="456" t="s">
        <v>375</v>
      </c>
      <c r="Q172" s="468">
        <v>15000000</v>
      </c>
      <c r="R172" s="458"/>
      <c r="S172" s="459"/>
      <c r="T172" s="460" t="s">
        <v>194</v>
      </c>
      <c r="U172" s="432"/>
      <c r="V172" s="433"/>
      <c r="W172" s="419"/>
      <c r="X172" s="419"/>
      <c r="Y172" s="689">
        <f>+X172-AA172</f>
        <v>0</v>
      </c>
      <c r="Z172" s="689">
        <f>+Q172-X172</f>
        <v>15000000</v>
      </c>
      <c r="AA172" s="419"/>
      <c r="AB172" s="419">
        <f>(Q172-X172)</f>
        <v>15000000</v>
      </c>
      <c r="AG172" s="661"/>
    </row>
    <row r="173" spans="2:33" ht="30" outlineLevel="1" x14ac:dyDescent="0.2">
      <c r="B173" s="440" t="s">
        <v>7</v>
      </c>
      <c r="C173" s="441" t="s">
        <v>20</v>
      </c>
      <c r="D173" s="441" t="s">
        <v>20</v>
      </c>
      <c r="E173" s="441" t="s">
        <v>20</v>
      </c>
      <c r="F173" s="441" t="s">
        <v>17</v>
      </c>
      <c r="G173" s="441" t="s">
        <v>11</v>
      </c>
      <c r="H173" s="441"/>
      <c r="I173" s="441"/>
      <c r="J173" s="442"/>
      <c r="K173" s="440"/>
      <c r="L173" s="642" t="s">
        <v>144</v>
      </c>
      <c r="M173" s="443"/>
      <c r="N173" s="443"/>
      <c r="O173" s="444"/>
      <c r="P173" s="444"/>
      <c r="Q173" s="620">
        <f>+Q174</f>
        <v>26800000</v>
      </c>
      <c r="R173" s="620">
        <f t="shared" ref="R173:S173" si="173">+R174</f>
        <v>0</v>
      </c>
      <c r="S173" s="620">
        <f t="shared" si="173"/>
        <v>0</v>
      </c>
      <c r="T173" s="445"/>
      <c r="U173" s="662"/>
      <c r="V173" s="665"/>
      <c r="W173" s="684">
        <f t="shared" ref="W173:AB173" si="174">+W174</f>
        <v>35000000</v>
      </c>
      <c r="X173" s="684">
        <f t="shared" si="174"/>
        <v>26745500</v>
      </c>
      <c r="Y173" s="684">
        <f>+Y174</f>
        <v>0</v>
      </c>
      <c r="Z173" s="684">
        <f>+Z174</f>
        <v>54500</v>
      </c>
      <c r="AA173" s="684">
        <f t="shared" si="174"/>
        <v>26745500</v>
      </c>
      <c r="AB173" s="684">
        <f t="shared" si="174"/>
        <v>54500</v>
      </c>
      <c r="AG173" s="661"/>
    </row>
    <row r="174" spans="2:33" ht="15" customHeight="1" outlineLevel="1" x14ac:dyDescent="0.2">
      <c r="B174" s="446" t="s">
        <v>7</v>
      </c>
      <c r="C174" s="447" t="s">
        <v>20</v>
      </c>
      <c r="D174" s="447" t="s">
        <v>20</v>
      </c>
      <c r="E174" s="447" t="s">
        <v>20</v>
      </c>
      <c r="F174" s="447" t="s">
        <v>17</v>
      </c>
      <c r="G174" s="447" t="s">
        <v>11</v>
      </c>
      <c r="H174" s="447" t="s">
        <v>8</v>
      </c>
      <c r="I174" s="447"/>
      <c r="J174" s="449"/>
      <c r="K174" s="446"/>
      <c r="L174" s="643" t="s">
        <v>145</v>
      </c>
      <c r="M174" s="450"/>
      <c r="N174" s="450"/>
      <c r="O174" s="451"/>
      <c r="P174" s="451"/>
      <c r="Q174" s="621">
        <f>SUM(Q175:Q176)</f>
        <v>26800000</v>
      </c>
      <c r="R174" s="621">
        <f t="shared" ref="R174:S174" si="175">SUM(R175:R176)</f>
        <v>0</v>
      </c>
      <c r="S174" s="621">
        <f t="shared" si="175"/>
        <v>0</v>
      </c>
      <c r="T174" s="467"/>
      <c r="U174" s="662"/>
      <c r="V174" s="665"/>
      <c r="W174" s="684">
        <f t="shared" ref="W174:AB174" si="176">SUM(W175:W176)</f>
        <v>35000000</v>
      </c>
      <c r="X174" s="684">
        <f t="shared" si="176"/>
        <v>26745500</v>
      </c>
      <c r="Y174" s="684">
        <f>SUM(Y175:Y176)</f>
        <v>0</v>
      </c>
      <c r="Z174" s="684">
        <f>SUM(Z175:Z176)</f>
        <v>54500</v>
      </c>
      <c r="AA174" s="684">
        <f t="shared" si="176"/>
        <v>26745500</v>
      </c>
      <c r="AB174" s="684">
        <f t="shared" si="176"/>
        <v>54500</v>
      </c>
      <c r="AG174" s="661"/>
    </row>
    <row r="175" spans="2:33" ht="60" customHeight="1" outlineLevel="1" x14ac:dyDescent="0.2">
      <c r="B175" s="758"/>
      <c r="C175" s="754"/>
      <c r="D175" s="754"/>
      <c r="E175" s="754"/>
      <c r="F175" s="754"/>
      <c r="G175" s="754"/>
      <c r="H175" s="754"/>
      <c r="I175" s="754"/>
      <c r="J175" s="755"/>
      <c r="K175" s="453" t="s">
        <v>527</v>
      </c>
      <c r="L175" s="454" t="s">
        <v>528</v>
      </c>
      <c r="M175" s="455">
        <v>44576</v>
      </c>
      <c r="N175" s="455" t="s">
        <v>469</v>
      </c>
      <c r="O175" s="456" t="s">
        <v>529</v>
      </c>
      <c r="P175" s="456" t="s">
        <v>340</v>
      </c>
      <c r="Q175" s="468">
        <v>0</v>
      </c>
      <c r="R175" s="458"/>
      <c r="S175" s="459"/>
      <c r="T175" s="460" t="s">
        <v>194</v>
      </c>
      <c r="U175" s="432"/>
      <c r="V175" s="433"/>
      <c r="W175" s="419"/>
      <c r="X175" s="419"/>
      <c r="Y175" s="689">
        <f>+X175-AA175</f>
        <v>0</v>
      </c>
      <c r="Z175" s="689">
        <f>+Q175-X175</f>
        <v>0</v>
      </c>
      <c r="AA175" s="419"/>
      <c r="AB175" s="419">
        <f>(Q175-X175)</f>
        <v>0</v>
      </c>
      <c r="AG175" s="661"/>
    </row>
    <row r="176" spans="2:33" ht="180" outlineLevel="1" x14ac:dyDescent="0.2">
      <c r="B176" s="765"/>
      <c r="C176" s="766"/>
      <c r="D176" s="766"/>
      <c r="E176" s="766"/>
      <c r="F176" s="766"/>
      <c r="G176" s="766"/>
      <c r="H176" s="766"/>
      <c r="I176" s="766"/>
      <c r="J176" s="767"/>
      <c r="K176" s="453" t="s">
        <v>546</v>
      </c>
      <c r="L176" s="454" t="s">
        <v>547</v>
      </c>
      <c r="M176" s="455">
        <v>44607</v>
      </c>
      <c r="N176" s="455" t="s">
        <v>466</v>
      </c>
      <c r="O176" s="456" t="s">
        <v>548</v>
      </c>
      <c r="P176" s="456" t="s">
        <v>532</v>
      </c>
      <c r="Q176" s="468">
        <f>35000000-8200000</f>
        <v>26800000</v>
      </c>
      <c r="R176" s="458" t="s">
        <v>350</v>
      </c>
      <c r="S176" s="459"/>
      <c r="T176" s="460" t="s">
        <v>533</v>
      </c>
      <c r="U176" s="432">
        <v>17822</v>
      </c>
      <c r="V176" s="433">
        <v>44603</v>
      </c>
      <c r="W176" s="419">
        <v>35000000</v>
      </c>
      <c r="X176" s="419">
        <v>26745500</v>
      </c>
      <c r="Y176" s="689">
        <f>+X176-AA176</f>
        <v>0</v>
      </c>
      <c r="Z176" s="689">
        <f>+Q176-X176</f>
        <v>54500</v>
      </c>
      <c r="AA176" s="419">
        <v>26745500</v>
      </c>
      <c r="AB176" s="419">
        <f>(Q176-X176)</f>
        <v>54500</v>
      </c>
      <c r="AG176" s="661"/>
    </row>
    <row r="177" spans="2:33" ht="45" customHeight="1" outlineLevel="1" x14ac:dyDescent="0.2">
      <c r="B177" s="440" t="s">
        <v>7</v>
      </c>
      <c r="C177" s="441" t="s">
        <v>20</v>
      </c>
      <c r="D177" s="441" t="s">
        <v>20</v>
      </c>
      <c r="E177" s="441" t="s">
        <v>20</v>
      </c>
      <c r="F177" s="441" t="s">
        <v>17</v>
      </c>
      <c r="G177" s="441" t="s">
        <v>12</v>
      </c>
      <c r="H177" s="441"/>
      <c r="I177" s="441"/>
      <c r="J177" s="442"/>
      <c r="K177" s="440"/>
      <c r="L177" s="642" t="s">
        <v>147</v>
      </c>
      <c r="M177" s="443"/>
      <c r="N177" s="443"/>
      <c r="O177" s="444"/>
      <c r="P177" s="444"/>
      <c r="Q177" s="620">
        <f>+Q178</f>
        <v>342000000</v>
      </c>
      <c r="R177" s="620">
        <f t="shared" ref="R177:S177" si="177">+R178</f>
        <v>0</v>
      </c>
      <c r="S177" s="620">
        <f t="shared" si="177"/>
        <v>0</v>
      </c>
      <c r="T177" s="445"/>
      <c r="U177" s="662"/>
      <c r="V177" s="665"/>
      <c r="W177" s="684">
        <f t="shared" ref="W177:AB177" si="178">+W178</f>
        <v>98289625</v>
      </c>
      <c r="X177" s="684">
        <f t="shared" si="178"/>
        <v>98289625</v>
      </c>
      <c r="Y177" s="684">
        <f>+Y178</f>
        <v>20000000</v>
      </c>
      <c r="Z177" s="684">
        <f>+Z178</f>
        <v>243710375</v>
      </c>
      <c r="AA177" s="684">
        <f t="shared" si="178"/>
        <v>78289625</v>
      </c>
      <c r="AB177" s="684">
        <f t="shared" si="178"/>
        <v>243710375</v>
      </c>
      <c r="AG177" s="661"/>
    </row>
    <row r="178" spans="2:33" ht="30" customHeight="1" outlineLevel="1" x14ac:dyDescent="0.2">
      <c r="B178" s="446" t="s">
        <v>7</v>
      </c>
      <c r="C178" s="447" t="s">
        <v>20</v>
      </c>
      <c r="D178" s="447" t="s">
        <v>20</v>
      </c>
      <c r="E178" s="447" t="s">
        <v>20</v>
      </c>
      <c r="F178" s="447" t="s">
        <v>17</v>
      </c>
      <c r="G178" s="447" t="s">
        <v>12</v>
      </c>
      <c r="H178" s="447" t="s">
        <v>8</v>
      </c>
      <c r="I178" s="447"/>
      <c r="J178" s="449"/>
      <c r="K178" s="446"/>
      <c r="L178" s="643" t="s">
        <v>148</v>
      </c>
      <c r="M178" s="475"/>
      <c r="N178" s="475"/>
      <c r="O178" s="451"/>
      <c r="P178" s="451"/>
      <c r="Q178" s="622">
        <f>SUM(Q179:Q180)</f>
        <v>342000000</v>
      </c>
      <c r="R178" s="622">
        <f t="shared" ref="R178:S178" si="179">SUM(R179:R180)</f>
        <v>0</v>
      </c>
      <c r="S178" s="622">
        <f t="shared" si="179"/>
        <v>0</v>
      </c>
      <c r="T178" s="467"/>
      <c r="U178" s="662"/>
      <c r="V178" s="665"/>
      <c r="W178" s="684">
        <f t="shared" ref="W178:AB178" si="180">SUM(W179:W180)</f>
        <v>98289625</v>
      </c>
      <c r="X178" s="684">
        <f t="shared" si="180"/>
        <v>98289625</v>
      </c>
      <c r="Y178" s="684">
        <f>SUM(Y179:Y180)</f>
        <v>20000000</v>
      </c>
      <c r="Z178" s="684">
        <f>SUM(Z179:Z180)</f>
        <v>243710375</v>
      </c>
      <c r="AA178" s="684">
        <f t="shared" si="180"/>
        <v>78289625</v>
      </c>
      <c r="AB178" s="684">
        <f t="shared" si="180"/>
        <v>243710375</v>
      </c>
      <c r="AG178" s="661"/>
    </row>
    <row r="179" spans="2:33" ht="120" outlineLevel="1" x14ac:dyDescent="0.2">
      <c r="B179" s="758"/>
      <c r="C179" s="754"/>
      <c r="D179" s="754"/>
      <c r="E179" s="754"/>
      <c r="F179" s="754"/>
      <c r="G179" s="754"/>
      <c r="H179" s="754"/>
      <c r="I179" s="754"/>
      <c r="J179" s="754"/>
      <c r="K179" s="453" t="s">
        <v>549</v>
      </c>
      <c r="L179" s="454" t="s">
        <v>619</v>
      </c>
      <c r="M179" s="455">
        <v>44635</v>
      </c>
      <c r="N179" s="455" t="s">
        <v>466</v>
      </c>
      <c r="O179" s="456" t="s">
        <v>551</v>
      </c>
      <c r="P179" s="456" t="s">
        <v>552</v>
      </c>
      <c r="Q179" s="468">
        <f>5000000+15000000</f>
        <v>20000000</v>
      </c>
      <c r="R179" s="458"/>
      <c r="S179" s="496"/>
      <c r="T179" s="454" t="s">
        <v>595</v>
      </c>
      <c r="U179" s="432">
        <v>22822</v>
      </c>
      <c r="V179" s="433"/>
      <c r="W179" s="419">
        <f>20000000</f>
        <v>20000000</v>
      </c>
      <c r="X179" s="419">
        <v>20000000</v>
      </c>
      <c r="Y179" s="689">
        <f>+X179-AA179</f>
        <v>20000000</v>
      </c>
      <c r="Z179" s="689">
        <f>+Q179-X179</f>
        <v>0</v>
      </c>
      <c r="AA179" s="419"/>
      <c r="AB179" s="419">
        <f>(Q179-X179)</f>
        <v>0</v>
      </c>
      <c r="AG179" s="661"/>
    </row>
    <row r="180" spans="2:33" outlineLevel="1" x14ac:dyDescent="0.2">
      <c r="B180" s="461"/>
      <c r="C180" s="462"/>
      <c r="D180" s="462"/>
      <c r="E180" s="462"/>
      <c r="F180" s="462"/>
      <c r="G180" s="462"/>
      <c r="H180" s="462"/>
      <c r="I180" s="462"/>
      <c r="J180" s="462"/>
      <c r="K180" s="463"/>
      <c r="L180" s="454" t="s">
        <v>273</v>
      </c>
      <c r="M180" s="455">
        <v>44198</v>
      </c>
      <c r="N180" s="455" t="s">
        <v>471</v>
      </c>
      <c r="O180" s="456" t="s">
        <v>301</v>
      </c>
      <c r="P180" s="456" t="s">
        <v>375</v>
      </c>
      <c r="Q180" s="468">
        <v>322000000</v>
      </c>
      <c r="R180" s="458" t="s">
        <v>386</v>
      </c>
      <c r="S180" s="459"/>
      <c r="T180" s="460" t="s">
        <v>271</v>
      </c>
      <c r="U180" s="432" t="s">
        <v>678</v>
      </c>
      <c r="V180" s="433" t="s">
        <v>678</v>
      </c>
      <c r="W180" s="419">
        <v>78289625</v>
      </c>
      <c r="X180" s="419">
        <v>78289625</v>
      </c>
      <c r="Y180" s="689">
        <f>+X180-AA180</f>
        <v>0</v>
      </c>
      <c r="Z180" s="689">
        <f>+Q180-X180</f>
        <v>243710375</v>
      </c>
      <c r="AA180" s="419">
        <v>78289625</v>
      </c>
      <c r="AB180" s="419">
        <f>(Q180-X180)</f>
        <v>243710375</v>
      </c>
      <c r="AG180" s="661"/>
    </row>
    <row r="181" spans="2:33" ht="15" customHeight="1" outlineLevel="1" x14ac:dyDescent="0.2">
      <c r="B181" s="440" t="s">
        <v>7</v>
      </c>
      <c r="C181" s="441" t="s">
        <v>20</v>
      </c>
      <c r="D181" s="441" t="s">
        <v>20</v>
      </c>
      <c r="E181" s="441" t="s">
        <v>20</v>
      </c>
      <c r="F181" s="441" t="s">
        <v>17</v>
      </c>
      <c r="G181" s="441" t="s">
        <v>14</v>
      </c>
      <c r="H181" s="441"/>
      <c r="I181" s="441"/>
      <c r="J181" s="442"/>
      <c r="K181" s="440"/>
      <c r="L181" s="642" t="s">
        <v>114</v>
      </c>
      <c r="M181" s="443"/>
      <c r="N181" s="443"/>
      <c r="O181" s="444"/>
      <c r="P181" s="444"/>
      <c r="Q181" s="620">
        <f>SUM(Q182:Q182)</f>
        <v>35000000</v>
      </c>
      <c r="R181" s="620">
        <f t="shared" ref="R181:S182" si="181">SUM(R182:R182)</f>
        <v>0</v>
      </c>
      <c r="S181" s="620">
        <f t="shared" si="181"/>
        <v>0</v>
      </c>
      <c r="T181" s="445"/>
      <c r="U181" s="662"/>
      <c r="V181" s="665"/>
      <c r="W181" s="684">
        <f t="shared" ref="W181:AB182" si="182">SUM(W182:W182)</f>
        <v>0</v>
      </c>
      <c r="X181" s="684">
        <f t="shared" si="182"/>
        <v>0</v>
      </c>
      <c r="Y181" s="684">
        <f>SUM(Y182:Y182)</f>
        <v>0</v>
      </c>
      <c r="Z181" s="684">
        <f>SUM(Z182:Z182)</f>
        <v>35000000</v>
      </c>
      <c r="AA181" s="684">
        <f t="shared" si="182"/>
        <v>0</v>
      </c>
      <c r="AB181" s="684">
        <f t="shared" si="182"/>
        <v>35000000</v>
      </c>
      <c r="AG181" s="661"/>
    </row>
    <row r="182" spans="2:33" ht="15" customHeight="1" outlineLevel="1" x14ac:dyDescent="0.2">
      <c r="B182" s="446" t="s">
        <v>7</v>
      </c>
      <c r="C182" s="447" t="s">
        <v>20</v>
      </c>
      <c r="D182" s="447" t="s">
        <v>20</v>
      </c>
      <c r="E182" s="447" t="s">
        <v>20</v>
      </c>
      <c r="F182" s="447" t="s">
        <v>17</v>
      </c>
      <c r="G182" s="447" t="s">
        <v>14</v>
      </c>
      <c r="H182" s="447" t="s">
        <v>31</v>
      </c>
      <c r="I182" s="447"/>
      <c r="J182" s="449"/>
      <c r="K182" s="446"/>
      <c r="L182" s="643" t="s">
        <v>116</v>
      </c>
      <c r="M182" s="450"/>
      <c r="N182" s="450"/>
      <c r="O182" s="451"/>
      <c r="P182" s="451"/>
      <c r="Q182" s="621">
        <f>SUM(Q183:Q183)</f>
        <v>35000000</v>
      </c>
      <c r="R182" s="621">
        <f t="shared" si="181"/>
        <v>0</v>
      </c>
      <c r="S182" s="621">
        <f t="shared" si="181"/>
        <v>0</v>
      </c>
      <c r="T182" s="467"/>
      <c r="U182" s="662"/>
      <c r="V182" s="665"/>
      <c r="W182" s="684">
        <f t="shared" si="182"/>
        <v>0</v>
      </c>
      <c r="X182" s="684">
        <f t="shared" si="182"/>
        <v>0</v>
      </c>
      <c r="Y182" s="684">
        <f>SUM(Y183:Y183)</f>
        <v>0</v>
      </c>
      <c r="Z182" s="684">
        <f>SUM(Z183:Z183)</f>
        <v>35000000</v>
      </c>
      <c r="AA182" s="684">
        <f t="shared" si="182"/>
        <v>0</v>
      </c>
      <c r="AB182" s="684">
        <f t="shared" si="182"/>
        <v>35000000</v>
      </c>
      <c r="AG182" s="661"/>
    </row>
    <row r="183" spans="2:33" ht="30" outlineLevel="1" x14ac:dyDescent="0.2">
      <c r="B183" s="758"/>
      <c r="C183" s="754"/>
      <c r="D183" s="754"/>
      <c r="E183" s="754"/>
      <c r="F183" s="754"/>
      <c r="G183" s="754"/>
      <c r="H183" s="754"/>
      <c r="I183" s="754"/>
      <c r="J183" s="754"/>
      <c r="K183" s="463">
        <v>93141500</v>
      </c>
      <c r="L183" s="454" t="s">
        <v>192</v>
      </c>
      <c r="M183" s="455">
        <v>44864</v>
      </c>
      <c r="N183" s="455" t="s">
        <v>523</v>
      </c>
      <c r="O183" s="456" t="s">
        <v>467</v>
      </c>
      <c r="P183" s="456" t="s">
        <v>643</v>
      </c>
      <c r="Q183" s="468">
        <v>35000000</v>
      </c>
      <c r="R183" s="458"/>
      <c r="S183" s="459"/>
      <c r="T183" s="460" t="s">
        <v>194</v>
      </c>
      <c r="U183" s="432"/>
      <c r="V183" s="433"/>
      <c r="W183" s="419"/>
      <c r="X183" s="419"/>
      <c r="Y183" s="689">
        <f>+X183-AA183</f>
        <v>0</v>
      </c>
      <c r="Z183" s="689">
        <f>+Q183-X183</f>
        <v>35000000</v>
      </c>
      <c r="AA183" s="419"/>
      <c r="AB183" s="419">
        <f>(Q183-X183)</f>
        <v>35000000</v>
      </c>
      <c r="AG183" s="661"/>
    </row>
    <row r="184" spans="2:33" ht="15" customHeight="1" outlineLevel="1" x14ac:dyDescent="0.2">
      <c r="B184" s="434" t="s">
        <v>7</v>
      </c>
      <c r="C184" s="435" t="s">
        <v>20</v>
      </c>
      <c r="D184" s="435" t="s">
        <v>20</v>
      </c>
      <c r="E184" s="435" t="s">
        <v>20</v>
      </c>
      <c r="F184" s="435" t="s">
        <v>18</v>
      </c>
      <c r="G184" s="435"/>
      <c r="H184" s="435"/>
      <c r="I184" s="435"/>
      <c r="J184" s="436"/>
      <c r="K184" s="434"/>
      <c r="L184" s="641" t="s">
        <v>19</v>
      </c>
      <c r="M184" s="437"/>
      <c r="N184" s="437"/>
      <c r="O184" s="438"/>
      <c r="P184" s="438"/>
      <c r="Q184" s="619">
        <f>SUM(Q185)</f>
        <v>50000000</v>
      </c>
      <c r="R184" s="619">
        <f t="shared" ref="R184:S184" si="183">SUM(R185)</f>
        <v>0</v>
      </c>
      <c r="S184" s="619">
        <f t="shared" si="183"/>
        <v>0</v>
      </c>
      <c r="T184" s="439"/>
      <c r="U184" s="673">
        <f t="shared" ref="U184:AB184" si="184">SUM(U185)</f>
        <v>11322</v>
      </c>
      <c r="V184" s="673">
        <f t="shared" si="184"/>
        <v>44594</v>
      </c>
      <c r="W184" s="684">
        <f t="shared" si="184"/>
        <v>50000000</v>
      </c>
      <c r="X184" s="684">
        <f t="shared" si="184"/>
        <v>50000000</v>
      </c>
      <c r="Y184" s="684">
        <f>SUM(Y185)</f>
        <v>25904776</v>
      </c>
      <c r="Z184" s="684">
        <f>SUM(Z185)</f>
        <v>0</v>
      </c>
      <c r="AA184" s="684">
        <f t="shared" si="184"/>
        <v>24095224</v>
      </c>
      <c r="AB184" s="684">
        <f t="shared" si="184"/>
        <v>0</v>
      </c>
      <c r="AG184" s="661"/>
    </row>
    <row r="185" spans="2:33" outlineLevel="1" x14ac:dyDescent="0.2">
      <c r="B185" s="759"/>
      <c r="C185" s="760"/>
      <c r="D185" s="760"/>
      <c r="E185" s="760"/>
      <c r="F185" s="760"/>
      <c r="G185" s="760"/>
      <c r="H185" s="760"/>
      <c r="I185" s="760"/>
      <c r="J185" s="760"/>
      <c r="K185" s="463"/>
      <c r="L185" s="454" t="s">
        <v>19</v>
      </c>
      <c r="M185" s="455"/>
      <c r="N185" s="455"/>
      <c r="O185" s="456"/>
      <c r="P185" s="456"/>
      <c r="Q185" s="468">
        <v>50000000</v>
      </c>
      <c r="R185" s="458"/>
      <c r="S185" s="459"/>
      <c r="T185" s="460"/>
      <c r="U185" s="432">
        <v>11322</v>
      </c>
      <c r="V185" s="433">
        <v>44594</v>
      </c>
      <c r="W185" s="419">
        <v>50000000</v>
      </c>
      <c r="X185" s="419">
        <v>50000000</v>
      </c>
      <c r="Y185" s="689">
        <f>+X185-AA185</f>
        <v>25904776</v>
      </c>
      <c r="Z185" s="689">
        <f>+Q185-X185</f>
        <v>0</v>
      </c>
      <c r="AA185" s="419">
        <v>24095224</v>
      </c>
      <c r="AB185" s="419">
        <f>(Q185-X185)</f>
        <v>0</v>
      </c>
      <c r="AG185" s="661"/>
    </row>
    <row r="186" spans="2:33" ht="15.75" customHeight="1" x14ac:dyDescent="0.2">
      <c r="B186" s="502" t="s">
        <v>7</v>
      </c>
      <c r="C186" s="503" t="s">
        <v>27</v>
      </c>
      <c r="D186" s="503"/>
      <c r="E186" s="503"/>
      <c r="F186" s="503"/>
      <c r="G186" s="503"/>
      <c r="H186" s="503"/>
      <c r="I186" s="503"/>
      <c r="J186" s="504"/>
      <c r="K186" s="502"/>
      <c r="L186" s="645" t="s">
        <v>120</v>
      </c>
      <c r="M186" s="505"/>
      <c r="N186" s="505"/>
      <c r="O186" s="506"/>
      <c r="P186" s="506"/>
      <c r="Q186" s="623">
        <f>+Q187</f>
        <v>9450000000.3533325</v>
      </c>
      <c r="R186" s="623">
        <f t="shared" ref="R186:S186" si="185">+R187</f>
        <v>0</v>
      </c>
      <c r="S186" s="623">
        <f t="shared" si="185"/>
        <v>4389986360</v>
      </c>
      <c r="T186" s="507"/>
      <c r="U186" s="666"/>
      <c r="V186" s="663"/>
      <c r="W186" s="683">
        <f t="shared" ref="W186:AB186" si="186">+W187</f>
        <v>4018247965.04</v>
      </c>
      <c r="X186" s="683">
        <f t="shared" si="186"/>
        <v>4888198747.3699999</v>
      </c>
      <c r="Y186" s="683">
        <f>+Y187</f>
        <v>1604855647.76</v>
      </c>
      <c r="Z186" s="683">
        <f>+Z187</f>
        <v>2908297380.9833331</v>
      </c>
      <c r="AA186" s="683">
        <f t="shared" si="186"/>
        <v>3283343099.6100001</v>
      </c>
      <c r="AB186" s="683">
        <f t="shared" si="186"/>
        <v>2908297380.9833331</v>
      </c>
      <c r="AC186" s="674">
        <f>+Z186-'[1]Sheet1 (2)'!$L$89</f>
        <v>413659412.02333307</v>
      </c>
      <c r="AG186" s="661"/>
    </row>
    <row r="187" spans="2:33" ht="15.75" customHeight="1" outlineLevel="1" x14ac:dyDescent="0.2">
      <c r="B187" s="508" t="s">
        <v>7</v>
      </c>
      <c r="C187" s="509" t="s">
        <v>27</v>
      </c>
      <c r="D187" s="509" t="s">
        <v>8</v>
      </c>
      <c r="E187" s="509"/>
      <c r="F187" s="509"/>
      <c r="G187" s="509"/>
      <c r="H187" s="509"/>
      <c r="I187" s="509"/>
      <c r="J187" s="510"/>
      <c r="K187" s="508"/>
      <c r="L187" s="646" t="s">
        <v>120</v>
      </c>
      <c r="M187" s="511"/>
      <c r="N187" s="511"/>
      <c r="O187" s="512"/>
      <c r="P187" s="512"/>
      <c r="Q187" s="624">
        <f>+Q212+Q188</f>
        <v>9450000000.3533325</v>
      </c>
      <c r="R187" s="624">
        <f t="shared" ref="R187:S187" si="187">+R212+R188</f>
        <v>0</v>
      </c>
      <c r="S187" s="624">
        <f t="shared" si="187"/>
        <v>4389986360</v>
      </c>
      <c r="T187" s="513"/>
      <c r="U187" s="666"/>
      <c r="V187" s="663"/>
      <c r="W187" s="683">
        <f t="shared" ref="W187:AB187" si="188">+W212+W188</f>
        <v>4018247965.04</v>
      </c>
      <c r="X187" s="683">
        <f t="shared" si="188"/>
        <v>4888198747.3699999</v>
      </c>
      <c r="Y187" s="683">
        <f>+Y212+Y188</f>
        <v>1604855647.76</v>
      </c>
      <c r="Z187" s="683">
        <f>+Z212+Z188</f>
        <v>2908297380.9833331</v>
      </c>
      <c r="AA187" s="683">
        <f t="shared" si="188"/>
        <v>3283343099.6100001</v>
      </c>
      <c r="AB187" s="683">
        <f t="shared" si="188"/>
        <v>2908297380.9833331</v>
      </c>
      <c r="AG187" s="661"/>
    </row>
    <row r="188" spans="2:33" ht="15" customHeight="1" outlineLevel="1" x14ac:dyDescent="0.2">
      <c r="B188" s="514" t="s">
        <v>7</v>
      </c>
      <c r="C188" s="515" t="s">
        <v>27</v>
      </c>
      <c r="D188" s="515" t="s">
        <v>8</v>
      </c>
      <c r="E188" s="515" t="s">
        <v>8</v>
      </c>
      <c r="F188" s="515"/>
      <c r="G188" s="515"/>
      <c r="H188" s="515"/>
      <c r="I188" s="515"/>
      <c r="J188" s="516"/>
      <c r="K188" s="514"/>
      <c r="L188" s="647" t="s">
        <v>50</v>
      </c>
      <c r="M188" s="517"/>
      <c r="N188" s="517"/>
      <c r="O188" s="518"/>
      <c r="P188" s="518"/>
      <c r="Q188" s="625">
        <f>+Q189+Q193</f>
        <v>315000000</v>
      </c>
      <c r="R188" s="625">
        <f t="shared" ref="R188:S188" si="189">+R189+R193</f>
        <v>0</v>
      </c>
      <c r="S188" s="625">
        <f t="shared" si="189"/>
        <v>0</v>
      </c>
      <c r="T188" s="519"/>
      <c r="U188" s="666"/>
      <c r="V188" s="663"/>
      <c r="W188" s="683">
        <f t="shared" ref="W188:AB188" si="190">+W189+W193</f>
        <v>315000000</v>
      </c>
      <c r="X188" s="683">
        <f t="shared" si="190"/>
        <v>315000000</v>
      </c>
      <c r="Y188" s="683">
        <f>+Y189+Y193</f>
        <v>95000000</v>
      </c>
      <c r="Z188" s="683">
        <f>+Z189+Z193</f>
        <v>0</v>
      </c>
      <c r="AA188" s="683">
        <f t="shared" si="190"/>
        <v>220000000</v>
      </c>
      <c r="AB188" s="683">
        <f t="shared" si="190"/>
        <v>0</v>
      </c>
      <c r="AG188" s="661"/>
    </row>
    <row r="189" spans="2:33" ht="15" customHeight="1" outlineLevel="1" x14ac:dyDescent="0.2">
      <c r="B189" s="434" t="s">
        <v>7</v>
      </c>
      <c r="C189" s="435" t="s">
        <v>27</v>
      </c>
      <c r="D189" s="435" t="s">
        <v>8</v>
      </c>
      <c r="E189" s="435" t="s">
        <v>8</v>
      </c>
      <c r="F189" s="435" t="s">
        <v>155</v>
      </c>
      <c r="G189" s="435"/>
      <c r="H189" s="435"/>
      <c r="I189" s="435"/>
      <c r="J189" s="436"/>
      <c r="K189" s="434"/>
      <c r="L189" s="641" t="s">
        <v>156</v>
      </c>
      <c r="M189" s="437"/>
      <c r="N189" s="437"/>
      <c r="O189" s="438"/>
      <c r="P189" s="438"/>
      <c r="Q189" s="619">
        <f>+Q190</f>
        <v>0</v>
      </c>
      <c r="R189" s="619">
        <f t="shared" ref="R189:S190" si="191">+R190</f>
        <v>0</v>
      </c>
      <c r="S189" s="619">
        <f t="shared" si="191"/>
        <v>0</v>
      </c>
      <c r="T189" s="439"/>
      <c r="U189" s="662"/>
      <c r="V189" s="665"/>
      <c r="W189" s="684">
        <f t="shared" ref="W189:AB190" si="192">+W190</f>
        <v>0</v>
      </c>
      <c r="X189" s="684">
        <f t="shared" si="192"/>
        <v>0</v>
      </c>
      <c r="Y189" s="684">
        <f>+Y190</f>
        <v>0</v>
      </c>
      <c r="Z189" s="684">
        <f>+Z190</f>
        <v>0</v>
      </c>
      <c r="AA189" s="684">
        <f t="shared" si="192"/>
        <v>0</v>
      </c>
      <c r="AB189" s="684">
        <f t="shared" si="192"/>
        <v>0</v>
      </c>
      <c r="AG189" s="661"/>
    </row>
    <row r="190" spans="2:33" ht="15" customHeight="1" outlineLevel="1" x14ac:dyDescent="0.2">
      <c r="B190" s="520" t="s">
        <v>7</v>
      </c>
      <c r="C190" s="521" t="s">
        <v>27</v>
      </c>
      <c r="D190" s="521" t="s">
        <v>8</v>
      </c>
      <c r="E190" s="521" t="s">
        <v>8</v>
      </c>
      <c r="F190" s="521" t="s">
        <v>155</v>
      </c>
      <c r="G190" s="521" t="s">
        <v>9</v>
      </c>
      <c r="H190" s="521"/>
      <c r="I190" s="521"/>
      <c r="J190" s="522"/>
      <c r="K190" s="520"/>
      <c r="L190" s="648" t="s">
        <v>157</v>
      </c>
      <c r="M190" s="523"/>
      <c r="N190" s="523"/>
      <c r="O190" s="524"/>
      <c r="P190" s="524"/>
      <c r="Q190" s="626">
        <f>+Q191</f>
        <v>0</v>
      </c>
      <c r="R190" s="626">
        <f t="shared" si="191"/>
        <v>0</v>
      </c>
      <c r="S190" s="626">
        <f t="shared" si="191"/>
        <v>0</v>
      </c>
      <c r="T190" s="525"/>
      <c r="U190" s="662"/>
      <c r="V190" s="665"/>
      <c r="W190" s="684">
        <f t="shared" si="192"/>
        <v>0</v>
      </c>
      <c r="X190" s="684">
        <f t="shared" si="192"/>
        <v>0</v>
      </c>
      <c r="Y190" s="684">
        <f>+Y191</f>
        <v>0</v>
      </c>
      <c r="Z190" s="684">
        <f>+Z191</f>
        <v>0</v>
      </c>
      <c r="AA190" s="684">
        <f t="shared" si="192"/>
        <v>0</v>
      </c>
      <c r="AB190" s="684">
        <f t="shared" si="192"/>
        <v>0</v>
      </c>
      <c r="AG190" s="661"/>
    </row>
    <row r="191" spans="2:33" ht="30" customHeight="1" outlineLevel="1" x14ac:dyDescent="0.2">
      <c r="B191" s="446" t="s">
        <v>7</v>
      </c>
      <c r="C191" s="447" t="s">
        <v>27</v>
      </c>
      <c r="D191" s="447" t="s">
        <v>8</v>
      </c>
      <c r="E191" s="447" t="s">
        <v>8</v>
      </c>
      <c r="F191" s="447" t="s">
        <v>155</v>
      </c>
      <c r="G191" s="447" t="s">
        <v>9</v>
      </c>
      <c r="H191" s="447" t="s">
        <v>31</v>
      </c>
      <c r="I191" s="447"/>
      <c r="J191" s="449"/>
      <c r="K191" s="446"/>
      <c r="L191" s="643" t="s">
        <v>158</v>
      </c>
      <c r="M191" s="450"/>
      <c r="N191" s="450"/>
      <c r="O191" s="451"/>
      <c r="P191" s="451"/>
      <c r="Q191" s="621">
        <f>SUM(Q192:Q192)</f>
        <v>0</v>
      </c>
      <c r="R191" s="621">
        <f>SUM(R192:R192)</f>
        <v>0</v>
      </c>
      <c r="S191" s="621">
        <f>SUM(S192:S192)</f>
        <v>0</v>
      </c>
      <c r="T191" s="467"/>
      <c r="U191" s="662"/>
      <c r="V191" s="665"/>
      <c r="W191" s="684">
        <f t="shared" ref="W191:AB191" si="193">SUM(W192:W192)</f>
        <v>0</v>
      </c>
      <c r="X191" s="684">
        <f t="shared" si="193"/>
        <v>0</v>
      </c>
      <c r="Y191" s="684">
        <f>SUM(Y192:Y192)</f>
        <v>0</v>
      </c>
      <c r="Z191" s="684">
        <f>SUM(Z192:Z192)</f>
        <v>0</v>
      </c>
      <c r="AA191" s="684">
        <f t="shared" si="193"/>
        <v>0</v>
      </c>
      <c r="AB191" s="684">
        <f t="shared" si="193"/>
        <v>0</v>
      </c>
      <c r="AG191" s="661"/>
    </row>
    <row r="192" spans="2:33" ht="60" outlineLevel="1" x14ac:dyDescent="0.2">
      <c r="B192" s="758"/>
      <c r="C192" s="754"/>
      <c r="D192" s="754"/>
      <c r="E192" s="754"/>
      <c r="F192" s="754"/>
      <c r="G192" s="754"/>
      <c r="H192" s="754"/>
      <c r="I192" s="754"/>
      <c r="J192" s="754"/>
      <c r="K192" s="453" t="s">
        <v>323</v>
      </c>
      <c r="L192" s="454" t="s">
        <v>501</v>
      </c>
      <c r="M192" s="455">
        <v>44727</v>
      </c>
      <c r="N192" s="455" t="s">
        <v>572</v>
      </c>
      <c r="O192" s="456" t="s">
        <v>331</v>
      </c>
      <c r="P192" s="456" t="s">
        <v>502</v>
      </c>
      <c r="Q192" s="457">
        <v>0</v>
      </c>
      <c r="R192" s="458"/>
      <c r="S192" s="496"/>
      <c r="T192" s="460" t="s">
        <v>221</v>
      </c>
      <c r="U192" s="432"/>
      <c r="V192" s="433"/>
      <c r="W192" s="419"/>
      <c r="X192" s="419"/>
      <c r="Y192" s="689">
        <f>+X192-AA192</f>
        <v>0</v>
      </c>
      <c r="Z192" s="689">
        <f>+Q192-X192</f>
        <v>0</v>
      </c>
      <c r="AA192" s="419"/>
      <c r="AB192" s="419">
        <f>(Q192-X192)</f>
        <v>0</v>
      </c>
      <c r="AG192" s="661"/>
    </row>
    <row r="193" spans="2:73" ht="30" customHeight="1" outlineLevel="1" x14ac:dyDescent="0.2">
      <c r="B193" s="434" t="s">
        <v>7</v>
      </c>
      <c r="C193" s="435" t="s">
        <v>27</v>
      </c>
      <c r="D193" s="435" t="s">
        <v>8</v>
      </c>
      <c r="E193" s="435" t="s">
        <v>8</v>
      </c>
      <c r="F193" s="435" t="s">
        <v>11</v>
      </c>
      <c r="G193" s="435"/>
      <c r="H193" s="435"/>
      <c r="I193" s="435"/>
      <c r="J193" s="436"/>
      <c r="K193" s="434"/>
      <c r="L193" s="641" t="s">
        <v>57</v>
      </c>
      <c r="M193" s="437"/>
      <c r="N193" s="437"/>
      <c r="O193" s="438"/>
      <c r="P193" s="438"/>
      <c r="Q193" s="619">
        <f>Q209+Q194+Q197+Q200+Q203</f>
        <v>315000000</v>
      </c>
      <c r="R193" s="619">
        <f t="shared" ref="R193:S193" si="194">R209+R194+R197+R200+R203</f>
        <v>0</v>
      </c>
      <c r="S193" s="619">
        <f t="shared" si="194"/>
        <v>0</v>
      </c>
      <c r="T193" s="439"/>
      <c r="U193" s="662"/>
      <c r="V193" s="665"/>
      <c r="W193" s="684">
        <f t="shared" ref="W193:AB193" si="195">W209+W194+W197+W200+W203</f>
        <v>315000000</v>
      </c>
      <c r="X193" s="684">
        <f t="shared" si="195"/>
        <v>315000000</v>
      </c>
      <c r="Y193" s="684">
        <f>Y209+Y194+Y197+Y200+Y203</f>
        <v>95000000</v>
      </c>
      <c r="Z193" s="684">
        <f>Z209+Z194+Z197+Z200+Z203</f>
        <v>0</v>
      </c>
      <c r="AA193" s="684">
        <f t="shared" si="195"/>
        <v>220000000</v>
      </c>
      <c r="AB193" s="684">
        <f t="shared" si="195"/>
        <v>0</v>
      </c>
      <c r="AG193" s="661"/>
    </row>
    <row r="194" spans="2:73" ht="30" customHeight="1" outlineLevel="1" x14ac:dyDescent="0.2">
      <c r="B194" s="520" t="s">
        <v>7</v>
      </c>
      <c r="C194" s="521" t="s">
        <v>27</v>
      </c>
      <c r="D194" s="521" t="s">
        <v>8</v>
      </c>
      <c r="E194" s="521" t="s">
        <v>8</v>
      </c>
      <c r="F194" s="521" t="s">
        <v>11</v>
      </c>
      <c r="G194" s="521" t="s">
        <v>10</v>
      </c>
      <c r="H194" s="521"/>
      <c r="I194" s="521"/>
      <c r="J194" s="522"/>
      <c r="K194" s="520"/>
      <c r="L194" s="648" t="s">
        <v>58</v>
      </c>
      <c r="M194" s="523"/>
      <c r="N194" s="523"/>
      <c r="O194" s="524"/>
      <c r="P194" s="524"/>
      <c r="Q194" s="626">
        <f>+Q195</f>
        <v>20000000</v>
      </c>
      <c r="R194" s="626">
        <f t="shared" ref="R194:S194" si="196">+R195</f>
        <v>0</v>
      </c>
      <c r="S194" s="626">
        <f t="shared" si="196"/>
        <v>0</v>
      </c>
      <c r="T194" s="525"/>
      <c r="U194" s="662"/>
      <c r="V194" s="665"/>
      <c r="W194" s="684">
        <f t="shared" ref="W194:AB194" si="197">+W195</f>
        <v>20000000</v>
      </c>
      <c r="X194" s="684">
        <f t="shared" si="197"/>
        <v>20000000</v>
      </c>
      <c r="Y194" s="684">
        <f>+Y195</f>
        <v>0</v>
      </c>
      <c r="Z194" s="684">
        <f>+Z195</f>
        <v>0</v>
      </c>
      <c r="AA194" s="684">
        <f t="shared" si="197"/>
        <v>20000000</v>
      </c>
      <c r="AB194" s="684">
        <f t="shared" si="197"/>
        <v>0</v>
      </c>
      <c r="AG194" s="661"/>
    </row>
    <row r="195" spans="2:73" ht="15" customHeight="1" outlineLevel="1" x14ac:dyDescent="0.2">
      <c r="B195" s="446" t="s">
        <v>7</v>
      </c>
      <c r="C195" s="447" t="s">
        <v>27</v>
      </c>
      <c r="D195" s="447" t="s">
        <v>8</v>
      </c>
      <c r="E195" s="447" t="s">
        <v>8</v>
      </c>
      <c r="F195" s="448" t="s">
        <v>11</v>
      </c>
      <c r="G195" s="448" t="s">
        <v>10</v>
      </c>
      <c r="H195" s="448" t="s">
        <v>8</v>
      </c>
      <c r="I195" s="447"/>
      <c r="J195" s="449"/>
      <c r="K195" s="446"/>
      <c r="L195" s="643" t="s">
        <v>59</v>
      </c>
      <c r="M195" s="450"/>
      <c r="N195" s="450"/>
      <c r="O195" s="451"/>
      <c r="P195" s="451"/>
      <c r="Q195" s="621">
        <f>SUM(Q196:Q196)</f>
        <v>20000000</v>
      </c>
      <c r="R195" s="621">
        <f t="shared" ref="R195:S195" si="198">SUM(R196:R196)</f>
        <v>0</v>
      </c>
      <c r="S195" s="621">
        <f t="shared" si="198"/>
        <v>0</v>
      </c>
      <c r="T195" s="467"/>
      <c r="U195" s="662"/>
      <c r="V195" s="665"/>
      <c r="W195" s="684">
        <f t="shared" ref="W195:AB195" si="199">SUM(W196:W196)</f>
        <v>20000000</v>
      </c>
      <c r="X195" s="684">
        <f t="shared" si="199"/>
        <v>20000000</v>
      </c>
      <c r="Y195" s="684">
        <f>SUM(Y196:Y196)</f>
        <v>0</v>
      </c>
      <c r="Z195" s="684">
        <f>SUM(Z196:Z196)</f>
        <v>0</v>
      </c>
      <c r="AA195" s="684">
        <f t="shared" si="199"/>
        <v>20000000</v>
      </c>
      <c r="AB195" s="684">
        <f t="shared" si="199"/>
        <v>0</v>
      </c>
      <c r="AG195" s="661"/>
    </row>
    <row r="196" spans="2:73" ht="180" outlineLevel="1" x14ac:dyDescent="0.2">
      <c r="B196" s="759"/>
      <c r="C196" s="760"/>
      <c r="D196" s="760"/>
      <c r="E196" s="760"/>
      <c r="F196" s="760"/>
      <c r="G196" s="760"/>
      <c r="H196" s="760"/>
      <c r="I196" s="760"/>
      <c r="J196" s="762"/>
      <c r="K196" s="453" t="s">
        <v>497</v>
      </c>
      <c r="L196" s="454" t="s">
        <v>218</v>
      </c>
      <c r="M196" s="455">
        <v>44607</v>
      </c>
      <c r="N196" s="455" t="s">
        <v>469</v>
      </c>
      <c r="O196" s="456" t="s">
        <v>326</v>
      </c>
      <c r="P196" s="456" t="s">
        <v>336</v>
      </c>
      <c r="Q196" s="457">
        <v>20000000</v>
      </c>
      <c r="R196" s="458"/>
      <c r="S196" s="496"/>
      <c r="T196" s="460" t="s">
        <v>222</v>
      </c>
      <c r="U196" s="432">
        <v>17922</v>
      </c>
      <c r="V196" s="433">
        <v>44603</v>
      </c>
      <c r="W196" s="419">
        <v>20000000</v>
      </c>
      <c r="X196" s="419">
        <v>20000000</v>
      </c>
      <c r="Y196" s="689">
        <f>+X196-AA196</f>
        <v>0</v>
      </c>
      <c r="Z196" s="689">
        <f>+Q196-X196</f>
        <v>0</v>
      </c>
      <c r="AA196" s="419">
        <v>20000000</v>
      </c>
      <c r="AB196" s="419">
        <f>(Q196-X196)</f>
        <v>0</v>
      </c>
      <c r="AG196" s="661"/>
    </row>
    <row r="197" spans="2:73" outlineLevel="1" x14ac:dyDescent="0.2">
      <c r="B197" s="520" t="s">
        <v>7</v>
      </c>
      <c r="C197" s="521" t="s">
        <v>27</v>
      </c>
      <c r="D197" s="521" t="s">
        <v>8</v>
      </c>
      <c r="E197" s="521" t="s">
        <v>8</v>
      </c>
      <c r="F197" s="521" t="s">
        <v>11</v>
      </c>
      <c r="G197" s="521" t="s">
        <v>12</v>
      </c>
      <c r="H197" s="521"/>
      <c r="I197" s="521"/>
      <c r="J197" s="522"/>
      <c r="K197" s="520"/>
      <c r="L197" s="648" t="s">
        <v>66</v>
      </c>
      <c r="M197" s="523"/>
      <c r="N197" s="523"/>
      <c r="O197" s="524"/>
      <c r="P197" s="524"/>
      <c r="Q197" s="626">
        <f>+Q198</f>
        <v>0</v>
      </c>
      <c r="R197" s="626">
        <f t="shared" ref="R197:S197" si="200">+R198</f>
        <v>0</v>
      </c>
      <c r="S197" s="626">
        <f t="shared" si="200"/>
        <v>0</v>
      </c>
      <c r="T197" s="525"/>
      <c r="U197" s="662"/>
      <c r="V197" s="665"/>
      <c r="W197" s="684">
        <f t="shared" ref="W197:AB197" si="201">+W198</f>
        <v>0</v>
      </c>
      <c r="X197" s="684">
        <f t="shared" si="201"/>
        <v>0</v>
      </c>
      <c r="Y197" s="684">
        <f>+Y198</f>
        <v>0</v>
      </c>
      <c r="Z197" s="684">
        <f>+Z198</f>
        <v>0</v>
      </c>
      <c r="AA197" s="684">
        <f t="shared" si="201"/>
        <v>0</v>
      </c>
      <c r="AB197" s="684">
        <f t="shared" si="201"/>
        <v>0</v>
      </c>
      <c r="AG197" s="661"/>
    </row>
    <row r="198" spans="2:73" outlineLevel="1" x14ac:dyDescent="0.2">
      <c r="B198" s="446" t="s">
        <v>7</v>
      </c>
      <c r="C198" s="447" t="s">
        <v>27</v>
      </c>
      <c r="D198" s="447" t="s">
        <v>8</v>
      </c>
      <c r="E198" s="447" t="s">
        <v>8</v>
      </c>
      <c r="F198" s="447" t="s">
        <v>11</v>
      </c>
      <c r="G198" s="447" t="s">
        <v>12</v>
      </c>
      <c r="H198" s="447" t="s">
        <v>31</v>
      </c>
      <c r="I198" s="447"/>
      <c r="J198" s="449"/>
      <c r="K198" s="446"/>
      <c r="L198" s="644" t="s">
        <v>459</v>
      </c>
      <c r="M198" s="450"/>
      <c r="N198" s="450"/>
      <c r="O198" s="451"/>
      <c r="P198" s="451"/>
      <c r="Q198" s="621">
        <f>SUM(Q199:Q199)</f>
        <v>0</v>
      </c>
      <c r="R198" s="621">
        <f t="shared" ref="R198:S198" si="202">SUM(R199:R199)</f>
        <v>0</v>
      </c>
      <c r="S198" s="621">
        <f t="shared" si="202"/>
        <v>0</v>
      </c>
      <c r="T198" s="467"/>
      <c r="U198" s="662"/>
      <c r="V198" s="665"/>
      <c r="W198" s="684">
        <f t="shared" ref="W198:AB198" si="203">SUM(W199:W199)</f>
        <v>0</v>
      </c>
      <c r="X198" s="684">
        <f t="shared" si="203"/>
        <v>0</v>
      </c>
      <c r="Y198" s="684">
        <f>SUM(Y199:Y199)</f>
        <v>0</v>
      </c>
      <c r="Z198" s="684">
        <f>SUM(Z199:Z199)</f>
        <v>0</v>
      </c>
      <c r="AA198" s="684">
        <f t="shared" si="203"/>
        <v>0</v>
      </c>
      <c r="AB198" s="684">
        <f t="shared" si="203"/>
        <v>0</v>
      </c>
      <c r="AG198" s="661"/>
    </row>
    <row r="199" spans="2:73" ht="60" outlineLevel="1" x14ac:dyDescent="0.2">
      <c r="B199" s="526"/>
      <c r="C199" s="527"/>
      <c r="D199" s="527"/>
      <c r="E199" s="527"/>
      <c r="F199" s="527"/>
      <c r="G199" s="527"/>
      <c r="H199" s="527"/>
      <c r="I199" s="527"/>
      <c r="J199" s="527"/>
      <c r="K199" s="453">
        <v>47121700</v>
      </c>
      <c r="L199" s="454" t="s">
        <v>597</v>
      </c>
      <c r="M199" s="455">
        <v>44681</v>
      </c>
      <c r="N199" s="455" t="s">
        <v>651</v>
      </c>
      <c r="O199" s="456"/>
      <c r="P199" s="456" t="s">
        <v>543</v>
      </c>
      <c r="Q199" s="468">
        <f>70000000-70000000</f>
        <v>0</v>
      </c>
      <c r="R199" s="458"/>
      <c r="S199" s="459"/>
      <c r="T199" s="460" t="s">
        <v>533</v>
      </c>
      <c r="U199" s="432"/>
      <c r="V199" s="433"/>
      <c r="W199" s="419"/>
      <c r="X199" s="419"/>
      <c r="Y199" s="689">
        <f>+X199-AA199</f>
        <v>0</v>
      </c>
      <c r="Z199" s="689">
        <f>+Q199-X199</f>
        <v>0</v>
      </c>
      <c r="AA199" s="419"/>
      <c r="AB199" s="419">
        <f>(Q199-X199)</f>
        <v>0</v>
      </c>
      <c r="AG199" s="661"/>
    </row>
    <row r="200" spans="2:73" ht="30" outlineLevel="1" x14ac:dyDescent="0.2">
      <c r="B200" s="520" t="s">
        <v>7</v>
      </c>
      <c r="C200" s="521" t="s">
        <v>27</v>
      </c>
      <c r="D200" s="521" t="s">
        <v>8</v>
      </c>
      <c r="E200" s="521" t="s">
        <v>8</v>
      </c>
      <c r="F200" s="521" t="s">
        <v>11</v>
      </c>
      <c r="G200" s="528" t="s">
        <v>13</v>
      </c>
      <c r="H200" s="521"/>
      <c r="I200" s="521"/>
      <c r="J200" s="522"/>
      <c r="K200" s="520"/>
      <c r="L200" s="648" t="s">
        <v>64</v>
      </c>
      <c r="M200" s="523"/>
      <c r="N200" s="523"/>
      <c r="O200" s="524"/>
      <c r="P200" s="524"/>
      <c r="Q200" s="626">
        <f>+Q201</f>
        <v>25000000</v>
      </c>
      <c r="R200" s="626">
        <f t="shared" ref="R200:S200" si="204">+R201</f>
        <v>0</v>
      </c>
      <c r="S200" s="626">
        <f t="shared" si="204"/>
        <v>0</v>
      </c>
      <c r="T200" s="525"/>
      <c r="U200" s="662"/>
      <c r="V200" s="665"/>
      <c r="W200" s="684">
        <f t="shared" ref="W200:AB200" si="205">+W201</f>
        <v>25000000</v>
      </c>
      <c r="X200" s="684">
        <f t="shared" si="205"/>
        <v>25000000</v>
      </c>
      <c r="Y200" s="684">
        <f>+Y201</f>
        <v>25000000</v>
      </c>
      <c r="Z200" s="684">
        <f>+Z201</f>
        <v>0</v>
      </c>
      <c r="AA200" s="684">
        <f t="shared" si="205"/>
        <v>0</v>
      </c>
      <c r="AB200" s="684">
        <f t="shared" si="205"/>
        <v>0</v>
      </c>
      <c r="AG200" s="661"/>
    </row>
    <row r="201" spans="2:73" outlineLevel="1" x14ac:dyDescent="0.2">
      <c r="B201" s="446" t="s">
        <v>7</v>
      </c>
      <c r="C201" s="447" t="s">
        <v>27</v>
      </c>
      <c r="D201" s="447" t="s">
        <v>8</v>
      </c>
      <c r="E201" s="447" t="s">
        <v>8</v>
      </c>
      <c r="F201" s="447" t="s">
        <v>11</v>
      </c>
      <c r="G201" s="447" t="s">
        <v>13</v>
      </c>
      <c r="H201" s="470" t="s">
        <v>20</v>
      </c>
      <c r="I201" s="447"/>
      <c r="J201" s="449"/>
      <c r="K201" s="446"/>
      <c r="L201" s="644" t="s">
        <v>140</v>
      </c>
      <c r="M201" s="450"/>
      <c r="N201" s="450"/>
      <c r="O201" s="451"/>
      <c r="P201" s="451"/>
      <c r="Q201" s="621">
        <f>SUM(Q202:Q202)</f>
        <v>25000000</v>
      </c>
      <c r="R201" s="621">
        <f t="shared" ref="R201:S201" si="206">SUM(R202:R202)</f>
        <v>0</v>
      </c>
      <c r="S201" s="621">
        <f t="shared" si="206"/>
        <v>0</v>
      </c>
      <c r="T201" s="467"/>
      <c r="U201" s="662"/>
      <c r="V201" s="665"/>
      <c r="W201" s="684">
        <f t="shared" ref="W201:AB201" si="207">SUM(W202:W202)</f>
        <v>25000000</v>
      </c>
      <c r="X201" s="684">
        <f t="shared" si="207"/>
        <v>25000000</v>
      </c>
      <c r="Y201" s="684">
        <f>SUM(Y202:Y202)</f>
        <v>25000000</v>
      </c>
      <c r="Z201" s="684">
        <f>SUM(Z202:Z202)</f>
        <v>0</v>
      </c>
      <c r="AA201" s="684">
        <f t="shared" si="207"/>
        <v>0</v>
      </c>
      <c r="AB201" s="684">
        <f t="shared" si="207"/>
        <v>0</v>
      </c>
      <c r="AG201" s="661"/>
    </row>
    <row r="202" spans="2:73" ht="180" outlineLevel="1" x14ac:dyDescent="0.2">
      <c r="B202" s="526"/>
      <c r="C202" s="527"/>
      <c r="D202" s="527"/>
      <c r="E202" s="527"/>
      <c r="F202" s="527"/>
      <c r="G202" s="527"/>
      <c r="H202" s="527"/>
      <c r="I202" s="527"/>
      <c r="J202" s="527"/>
      <c r="K202" s="453" t="s">
        <v>537</v>
      </c>
      <c r="L202" s="529" t="s">
        <v>625</v>
      </c>
      <c r="M202" s="455">
        <v>44696</v>
      </c>
      <c r="N202" s="455" t="s">
        <v>535</v>
      </c>
      <c r="O202" s="456" t="s">
        <v>538</v>
      </c>
      <c r="P202" s="456" t="s">
        <v>318</v>
      </c>
      <c r="Q202" s="468">
        <v>25000000</v>
      </c>
      <c r="R202" s="458" t="s">
        <v>350</v>
      </c>
      <c r="S202" s="459"/>
      <c r="T202" s="460" t="s">
        <v>533</v>
      </c>
      <c r="U202" s="432">
        <v>40722</v>
      </c>
      <c r="V202" s="433">
        <v>44677</v>
      </c>
      <c r="W202" s="419">
        <v>25000000</v>
      </c>
      <c r="X202" s="419">
        <v>25000000</v>
      </c>
      <c r="Y202" s="689">
        <f>+X202-AA202</f>
        <v>25000000</v>
      </c>
      <c r="Z202" s="689">
        <f>+Q202-X202</f>
        <v>0</v>
      </c>
      <c r="AA202" s="419"/>
      <c r="AB202" s="419">
        <f>(Q202-X202)</f>
        <v>0</v>
      </c>
      <c r="AG202" s="661"/>
    </row>
    <row r="203" spans="2:73" outlineLevel="1" x14ac:dyDescent="0.2">
      <c r="B203" s="520" t="s">
        <v>7</v>
      </c>
      <c r="C203" s="521" t="s">
        <v>27</v>
      </c>
      <c r="D203" s="521" t="s">
        <v>8</v>
      </c>
      <c r="E203" s="521" t="s">
        <v>8</v>
      </c>
      <c r="F203" s="521" t="s">
        <v>11</v>
      </c>
      <c r="G203" s="528" t="s">
        <v>14</v>
      </c>
      <c r="H203" s="521"/>
      <c r="I203" s="521"/>
      <c r="J203" s="522"/>
      <c r="K203" s="520"/>
      <c r="L203" s="648" t="s">
        <v>66</v>
      </c>
      <c r="M203" s="523"/>
      <c r="N203" s="523"/>
      <c r="O203" s="524"/>
      <c r="P203" s="524"/>
      <c r="Q203" s="626">
        <f>+Q204+Q207</f>
        <v>70000000</v>
      </c>
      <c r="R203" s="626">
        <f t="shared" ref="R203:S203" si="208">+R204+R207</f>
        <v>0</v>
      </c>
      <c r="S203" s="626">
        <f t="shared" si="208"/>
        <v>0</v>
      </c>
      <c r="T203" s="525"/>
      <c r="U203" s="662"/>
      <c r="V203" s="665"/>
      <c r="W203" s="684">
        <f t="shared" ref="W203:AB203" si="209">+W204+W207</f>
        <v>70000000</v>
      </c>
      <c r="X203" s="684">
        <f t="shared" si="209"/>
        <v>70000000</v>
      </c>
      <c r="Y203" s="684">
        <f>+Y204+Y207</f>
        <v>70000000</v>
      </c>
      <c r="Z203" s="684">
        <f>+Z204+Z207</f>
        <v>0</v>
      </c>
      <c r="AA203" s="684">
        <f t="shared" si="209"/>
        <v>0</v>
      </c>
      <c r="AB203" s="684">
        <f t="shared" si="209"/>
        <v>0</v>
      </c>
      <c r="AG203" s="661"/>
    </row>
    <row r="204" spans="2:73" ht="15" customHeight="1" outlineLevel="1" x14ac:dyDescent="0.2">
      <c r="B204" s="446" t="s">
        <v>7</v>
      </c>
      <c r="C204" s="447" t="s">
        <v>27</v>
      </c>
      <c r="D204" s="447" t="s">
        <v>8</v>
      </c>
      <c r="E204" s="447" t="s">
        <v>8</v>
      </c>
      <c r="F204" s="447" t="s">
        <v>11</v>
      </c>
      <c r="G204" s="470" t="s">
        <v>14</v>
      </c>
      <c r="H204" s="470" t="s">
        <v>23</v>
      </c>
      <c r="I204" s="447"/>
      <c r="J204" s="449"/>
      <c r="K204" s="446"/>
      <c r="L204" s="643" t="s">
        <v>69</v>
      </c>
      <c r="M204" s="450"/>
      <c r="N204" s="450"/>
      <c r="O204" s="451"/>
      <c r="P204" s="451"/>
      <c r="Q204" s="621">
        <f>SUM(Q205:Q206)</f>
        <v>0</v>
      </c>
      <c r="R204" s="621">
        <f t="shared" ref="R204:S204" si="210">SUM(R205:R206)</f>
        <v>0</v>
      </c>
      <c r="S204" s="621">
        <f t="shared" si="210"/>
        <v>0</v>
      </c>
      <c r="T204" s="467"/>
      <c r="U204" s="662"/>
      <c r="V204" s="665"/>
      <c r="W204" s="684">
        <f t="shared" ref="W204:AB204" si="211">SUM(W205:W206)</f>
        <v>0</v>
      </c>
      <c r="X204" s="684">
        <f t="shared" si="211"/>
        <v>0</v>
      </c>
      <c r="Y204" s="684">
        <f>SUM(Y205:Y206)</f>
        <v>0</v>
      </c>
      <c r="Z204" s="684">
        <f>SUM(Z205:Z206)</f>
        <v>0</v>
      </c>
      <c r="AA204" s="684">
        <f t="shared" si="211"/>
        <v>0</v>
      </c>
      <c r="AB204" s="684">
        <f t="shared" si="211"/>
        <v>0</v>
      </c>
      <c r="AG204" s="661"/>
    </row>
    <row r="205" spans="2:73" ht="104.25" customHeight="1" outlineLevel="1" x14ac:dyDescent="0.2">
      <c r="B205" s="759"/>
      <c r="C205" s="760"/>
      <c r="D205" s="760"/>
      <c r="E205" s="760"/>
      <c r="F205" s="760"/>
      <c r="G205" s="760"/>
      <c r="H205" s="760"/>
      <c r="I205" s="760"/>
      <c r="J205" s="762"/>
      <c r="K205" s="453" t="s">
        <v>540</v>
      </c>
      <c r="L205" s="454" t="s">
        <v>541</v>
      </c>
      <c r="M205" s="455">
        <v>44301</v>
      </c>
      <c r="N205" s="455" t="s">
        <v>530</v>
      </c>
      <c r="O205" s="456" t="s">
        <v>542</v>
      </c>
      <c r="P205" s="456" t="s">
        <v>543</v>
      </c>
      <c r="Q205" s="468">
        <v>0</v>
      </c>
      <c r="R205" s="458" t="s">
        <v>350</v>
      </c>
      <c r="S205" s="459"/>
      <c r="T205" s="460" t="s">
        <v>533</v>
      </c>
      <c r="U205" s="432"/>
      <c r="V205" s="433"/>
      <c r="W205" s="419"/>
      <c r="X205" s="419"/>
      <c r="Y205" s="689">
        <f>+X205-AA205</f>
        <v>0</v>
      </c>
      <c r="Z205" s="689">
        <f>+Q205-X205</f>
        <v>0</v>
      </c>
      <c r="AA205" s="419"/>
      <c r="AB205" s="419">
        <f>(Q205-X205)</f>
        <v>0</v>
      </c>
      <c r="AG205" s="661"/>
    </row>
    <row r="206" spans="2:73" ht="75" outlineLevel="1" x14ac:dyDescent="0.2">
      <c r="B206" s="526"/>
      <c r="C206" s="527"/>
      <c r="D206" s="527"/>
      <c r="E206" s="527"/>
      <c r="F206" s="527"/>
      <c r="G206" s="527"/>
      <c r="H206" s="527"/>
      <c r="I206" s="527"/>
      <c r="J206" s="527"/>
      <c r="K206" s="453" t="s">
        <v>544</v>
      </c>
      <c r="L206" s="454" t="s">
        <v>545</v>
      </c>
      <c r="M206" s="455">
        <v>44301</v>
      </c>
      <c r="N206" s="455" t="s">
        <v>530</v>
      </c>
      <c r="O206" s="456" t="s">
        <v>542</v>
      </c>
      <c r="P206" s="456" t="s">
        <v>543</v>
      </c>
      <c r="Q206" s="468">
        <v>0</v>
      </c>
      <c r="R206" s="458" t="s">
        <v>350</v>
      </c>
      <c r="S206" s="459"/>
      <c r="T206" s="460" t="s">
        <v>533</v>
      </c>
      <c r="U206" s="432"/>
      <c r="V206" s="433"/>
      <c r="W206" s="419"/>
      <c r="X206" s="419"/>
      <c r="Y206" s="689">
        <f>+X206-AA206</f>
        <v>0</v>
      </c>
      <c r="Z206" s="689">
        <f>+Q206-X206</f>
        <v>0</v>
      </c>
      <c r="AA206" s="419"/>
      <c r="AB206" s="419">
        <f>(Q206-X206)</f>
        <v>0</v>
      </c>
      <c r="AG206" s="661"/>
    </row>
    <row r="207" spans="2:73" ht="15" customHeight="1" outlineLevel="1" x14ac:dyDescent="0.2">
      <c r="B207" s="446" t="s">
        <v>7</v>
      </c>
      <c r="C207" s="447" t="s">
        <v>27</v>
      </c>
      <c r="D207" s="447" t="s">
        <v>8</v>
      </c>
      <c r="E207" s="447" t="s">
        <v>8</v>
      </c>
      <c r="F207" s="447" t="s">
        <v>11</v>
      </c>
      <c r="G207" s="470" t="s">
        <v>14</v>
      </c>
      <c r="H207" s="470" t="s">
        <v>31</v>
      </c>
      <c r="I207" s="447"/>
      <c r="J207" s="449"/>
      <c r="K207" s="446"/>
      <c r="L207" s="644" t="s">
        <v>459</v>
      </c>
      <c r="M207" s="450"/>
      <c r="N207" s="450"/>
      <c r="O207" s="451"/>
      <c r="P207" s="451"/>
      <c r="Q207" s="621">
        <f>SUM(Q208:Q208)</f>
        <v>70000000</v>
      </c>
      <c r="R207" s="621">
        <f t="shared" ref="R207:S207" si="212">SUM(R208:R208)</f>
        <v>0</v>
      </c>
      <c r="S207" s="621">
        <f t="shared" si="212"/>
        <v>0</v>
      </c>
      <c r="T207" s="490"/>
      <c r="U207" s="669">
        <f>SUM(U208:U208)</f>
        <v>48022</v>
      </c>
      <c r="V207" s="669">
        <f>SUM(V208:V208)</f>
        <v>44699</v>
      </c>
      <c r="W207" s="684">
        <f t="shared" ref="W207:AB207" si="213">SUM(W208:W208)</f>
        <v>70000000</v>
      </c>
      <c r="X207" s="684">
        <f t="shared" si="213"/>
        <v>70000000</v>
      </c>
      <c r="Y207" s="684">
        <f>SUM(Y208:Y208)</f>
        <v>70000000</v>
      </c>
      <c r="Z207" s="684">
        <f>SUM(Z208:Z208)</f>
        <v>0</v>
      </c>
      <c r="AA207" s="684">
        <f t="shared" si="213"/>
        <v>0</v>
      </c>
      <c r="AB207" s="684">
        <f t="shared" si="213"/>
        <v>0</v>
      </c>
      <c r="AG207" s="661"/>
      <c r="AR207" s="466"/>
      <c r="AS207" s="466"/>
      <c r="AT207" s="466"/>
      <c r="AU207" s="466"/>
      <c r="AV207" s="466"/>
      <c r="AW207" s="466"/>
      <c r="AX207" s="466"/>
      <c r="AY207" s="466"/>
      <c r="AZ207" s="466"/>
      <c r="BA207" s="466"/>
      <c r="BB207" s="466"/>
      <c r="BC207" s="466"/>
      <c r="BD207" s="466"/>
      <c r="BE207" s="466"/>
      <c r="BF207" s="466"/>
      <c r="BG207" s="466"/>
      <c r="BH207" s="466"/>
      <c r="BI207" s="466"/>
      <c r="BJ207" s="466"/>
      <c r="BK207" s="466"/>
      <c r="BL207" s="466"/>
      <c r="BM207" s="466"/>
      <c r="BN207" s="466"/>
      <c r="BO207" s="466"/>
      <c r="BP207" s="466"/>
      <c r="BQ207" s="466"/>
      <c r="BR207" s="466"/>
      <c r="BS207" s="466"/>
      <c r="BT207" s="466"/>
      <c r="BU207" s="466"/>
    </row>
    <row r="208" spans="2:73" ht="47.25" customHeight="1" outlineLevel="1" x14ac:dyDescent="0.2">
      <c r="B208" s="526"/>
      <c r="C208" s="527"/>
      <c r="D208" s="527"/>
      <c r="E208" s="527"/>
      <c r="F208" s="527"/>
      <c r="G208" s="527"/>
      <c r="H208" s="527"/>
      <c r="I208" s="527"/>
      <c r="J208" s="527"/>
      <c r="K208" s="463">
        <v>47121700</v>
      </c>
      <c r="L208" s="454" t="s">
        <v>597</v>
      </c>
      <c r="M208" s="455">
        <v>44681</v>
      </c>
      <c r="N208" s="455" t="s">
        <v>651</v>
      </c>
      <c r="O208" s="456"/>
      <c r="P208" s="456" t="s">
        <v>543</v>
      </c>
      <c r="Q208" s="468">
        <v>70000000</v>
      </c>
      <c r="R208" s="458" t="s">
        <v>386</v>
      </c>
      <c r="S208" s="459"/>
      <c r="T208" s="493" t="s">
        <v>691</v>
      </c>
      <c r="U208" s="432">
        <v>48022</v>
      </c>
      <c r="V208" s="433">
        <v>44699</v>
      </c>
      <c r="W208" s="419">
        <v>70000000</v>
      </c>
      <c r="X208" s="419">
        <v>70000000</v>
      </c>
      <c r="Y208" s="689">
        <f>+X208-AA208</f>
        <v>70000000</v>
      </c>
      <c r="Z208" s="689">
        <f>+Q208-X208</f>
        <v>0</v>
      </c>
      <c r="AA208" s="419"/>
      <c r="AB208" s="419">
        <f>(Q208-X208)</f>
        <v>0</v>
      </c>
      <c r="AC208" s="682" t="s">
        <v>430</v>
      </c>
      <c r="AG208" s="661"/>
      <c r="AR208" s="466"/>
      <c r="AS208" s="466"/>
      <c r="AT208" s="466"/>
      <c r="AU208" s="466"/>
      <c r="AV208" s="466"/>
      <c r="AW208" s="466"/>
      <c r="AX208" s="466"/>
      <c r="AY208" s="466"/>
      <c r="AZ208" s="466"/>
      <c r="BA208" s="466"/>
      <c r="BB208" s="466"/>
      <c r="BC208" s="466"/>
      <c r="BD208" s="466"/>
      <c r="BE208" s="466"/>
      <c r="BF208" s="466"/>
      <c r="BG208" s="466"/>
      <c r="BH208" s="466"/>
      <c r="BI208" s="466"/>
      <c r="BJ208" s="466"/>
      <c r="BK208" s="466"/>
      <c r="BL208" s="466"/>
      <c r="BM208" s="466"/>
      <c r="BN208" s="466"/>
      <c r="BO208" s="466"/>
      <c r="BP208" s="466"/>
      <c r="BQ208" s="466"/>
      <c r="BR208" s="466"/>
      <c r="BS208" s="466"/>
      <c r="BT208" s="466"/>
      <c r="BU208" s="466"/>
    </row>
    <row r="209" spans="2:33" ht="30" outlineLevel="1" x14ac:dyDescent="0.2">
      <c r="B209" s="520" t="s">
        <v>7</v>
      </c>
      <c r="C209" s="521" t="s">
        <v>27</v>
      </c>
      <c r="D209" s="521" t="s">
        <v>8</v>
      </c>
      <c r="E209" s="521" t="s">
        <v>8</v>
      </c>
      <c r="F209" s="521" t="s">
        <v>11</v>
      </c>
      <c r="G209" s="521" t="s">
        <v>15</v>
      </c>
      <c r="H209" s="521"/>
      <c r="I209" s="521"/>
      <c r="J209" s="522"/>
      <c r="K209" s="520"/>
      <c r="L209" s="648" t="s">
        <v>71</v>
      </c>
      <c r="M209" s="523"/>
      <c r="N209" s="523"/>
      <c r="O209" s="524"/>
      <c r="P209" s="524"/>
      <c r="Q209" s="626">
        <f>SUM(Q210:Q210)</f>
        <v>200000000</v>
      </c>
      <c r="R209" s="626">
        <f t="shared" ref="R209:S210" si="214">SUM(R210:R210)</f>
        <v>0</v>
      </c>
      <c r="S209" s="626">
        <f t="shared" si="214"/>
        <v>0</v>
      </c>
      <c r="T209" s="525"/>
      <c r="U209" s="662"/>
      <c r="V209" s="665"/>
      <c r="W209" s="684">
        <f t="shared" ref="W209:AB210" si="215">SUM(W210:W210)</f>
        <v>200000000</v>
      </c>
      <c r="X209" s="684">
        <f t="shared" si="215"/>
        <v>200000000</v>
      </c>
      <c r="Y209" s="684">
        <f>SUM(Y210:Y210)</f>
        <v>0</v>
      </c>
      <c r="Z209" s="684">
        <f>SUM(Z210:Z210)</f>
        <v>0</v>
      </c>
      <c r="AA209" s="684">
        <f t="shared" si="215"/>
        <v>200000000</v>
      </c>
      <c r="AB209" s="684">
        <f t="shared" si="215"/>
        <v>0</v>
      </c>
      <c r="AG209" s="661"/>
    </row>
    <row r="210" spans="2:33" ht="15" customHeight="1" outlineLevel="1" x14ac:dyDescent="0.2">
      <c r="B210" s="446" t="s">
        <v>7</v>
      </c>
      <c r="C210" s="447" t="s">
        <v>27</v>
      </c>
      <c r="D210" s="447" t="s">
        <v>8</v>
      </c>
      <c r="E210" s="447" t="s">
        <v>8</v>
      </c>
      <c r="F210" s="447" t="s">
        <v>11</v>
      </c>
      <c r="G210" s="447" t="s">
        <v>15</v>
      </c>
      <c r="H210" s="447" t="s">
        <v>8</v>
      </c>
      <c r="I210" s="447"/>
      <c r="J210" s="449"/>
      <c r="K210" s="446"/>
      <c r="L210" s="643" t="s">
        <v>72</v>
      </c>
      <c r="M210" s="450"/>
      <c r="N210" s="450"/>
      <c r="O210" s="451"/>
      <c r="P210" s="451"/>
      <c r="Q210" s="621">
        <f>SUM(Q211:Q211)</f>
        <v>200000000</v>
      </c>
      <c r="R210" s="621">
        <f t="shared" si="214"/>
        <v>0</v>
      </c>
      <c r="S210" s="621">
        <f t="shared" si="214"/>
        <v>0</v>
      </c>
      <c r="T210" s="467"/>
      <c r="U210" s="662"/>
      <c r="V210" s="665"/>
      <c r="W210" s="684">
        <f t="shared" si="215"/>
        <v>200000000</v>
      </c>
      <c r="X210" s="684">
        <f t="shared" si="215"/>
        <v>200000000</v>
      </c>
      <c r="Y210" s="684">
        <f>SUM(Y211:Y211)</f>
        <v>0</v>
      </c>
      <c r="Z210" s="684">
        <f>SUM(Z211:Z211)</f>
        <v>0</v>
      </c>
      <c r="AA210" s="684">
        <f t="shared" si="215"/>
        <v>200000000</v>
      </c>
      <c r="AB210" s="684">
        <f t="shared" si="215"/>
        <v>0</v>
      </c>
      <c r="AG210" s="661"/>
    </row>
    <row r="211" spans="2:33" ht="60" outlineLevel="1" x14ac:dyDescent="0.2">
      <c r="B211" s="759"/>
      <c r="C211" s="760"/>
      <c r="D211" s="760"/>
      <c r="E211" s="760"/>
      <c r="F211" s="760"/>
      <c r="G211" s="760"/>
      <c r="H211" s="760"/>
      <c r="I211" s="760"/>
      <c r="J211" s="762"/>
      <c r="K211" s="453" t="s">
        <v>325</v>
      </c>
      <c r="L211" s="454" t="s">
        <v>503</v>
      </c>
      <c r="M211" s="455">
        <v>44635</v>
      </c>
      <c r="N211" s="455" t="s">
        <v>466</v>
      </c>
      <c r="O211" s="456" t="s">
        <v>362</v>
      </c>
      <c r="P211" s="456" t="s">
        <v>638</v>
      </c>
      <c r="Q211" s="457">
        <v>200000000</v>
      </c>
      <c r="R211" s="458"/>
      <c r="S211" s="459"/>
      <c r="T211" s="460" t="s">
        <v>221</v>
      </c>
      <c r="U211" s="432">
        <v>21222</v>
      </c>
      <c r="V211" s="433">
        <v>44613</v>
      </c>
      <c r="W211" s="419">
        <v>200000000</v>
      </c>
      <c r="X211" s="419">
        <v>200000000</v>
      </c>
      <c r="Y211" s="689">
        <f>+X211-AA211</f>
        <v>0</v>
      </c>
      <c r="Z211" s="689">
        <f>+Q211-X211</f>
        <v>0</v>
      </c>
      <c r="AA211" s="419">
        <v>200000000</v>
      </c>
      <c r="AB211" s="419">
        <f>(Q211-X211)</f>
        <v>0</v>
      </c>
      <c r="AG211" s="661"/>
    </row>
    <row r="212" spans="2:33" ht="15" customHeight="1" outlineLevel="1" x14ac:dyDescent="0.2">
      <c r="B212" s="514" t="s">
        <v>7</v>
      </c>
      <c r="C212" s="515" t="s">
        <v>27</v>
      </c>
      <c r="D212" s="515" t="s">
        <v>8</v>
      </c>
      <c r="E212" s="515" t="s">
        <v>20</v>
      </c>
      <c r="F212" s="515"/>
      <c r="G212" s="515"/>
      <c r="H212" s="515"/>
      <c r="I212" s="515"/>
      <c r="J212" s="516"/>
      <c r="K212" s="514"/>
      <c r="L212" s="647" t="s">
        <v>75</v>
      </c>
      <c r="M212" s="517"/>
      <c r="N212" s="517"/>
      <c r="O212" s="518"/>
      <c r="P212" s="518"/>
      <c r="Q212" s="625">
        <f>+Q213+Q247+Q238</f>
        <v>9135000000.3533325</v>
      </c>
      <c r="R212" s="625">
        <f>+R213+R247+R238</f>
        <v>0</v>
      </c>
      <c r="S212" s="625">
        <f>+S213+S247+S238</f>
        <v>4389986360</v>
      </c>
      <c r="T212" s="519"/>
      <c r="U212" s="666"/>
      <c r="V212" s="663"/>
      <c r="W212" s="683">
        <f t="shared" ref="W212:AB212" si="216">+W213+W247+W238</f>
        <v>3703247965.04</v>
      </c>
      <c r="X212" s="683">
        <f t="shared" si="216"/>
        <v>4573198747.3699999</v>
      </c>
      <c r="Y212" s="683">
        <f t="shared" si="216"/>
        <v>1509855647.76</v>
      </c>
      <c r="Z212" s="683">
        <f t="shared" si="216"/>
        <v>2908297380.9833331</v>
      </c>
      <c r="AA212" s="683">
        <f t="shared" si="216"/>
        <v>3063343099.6100001</v>
      </c>
      <c r="AB212" s="683">
        <f t="shared" si="216"/>
        <v>2908297380.9833331</v>
      </c>
      <c r="AC212" s="674">
        <f>+AA212-'[1]Sheet1 (2)'!$M$89</f>
        <v>-466791423.92000008</v>
      </c>
      <c r="AG212" s="661"/>
    </row>
    <row r="213" spans="2:33" ht="15" customHeight="1" outlineLevel="1" x14ac:dyDescent="0.2">
      <c r="B213" s="434" t="s">
        <v>7</v>
      </c>
      <c r="C213" s="435" t="s">
        <v>27</v>
      </c>
      <c r="D213" s="435" t="s">
        <v>8</v>
      </c>
      <c r="E213" s="435" t="s">
        <v>20</v>
      </c>
      <c r="F213" s="435" t="s">
        <v>13</v>
      </c>
      <c r="G213" s="435"/>
      <c r="H213" s="435"/>
      <c r="I213" s="435"/>
      <c r="J213" s="436"/>
      <c r="K213" s="434"/>
      <c r="L213" s="641" t="s">
        <v>76</v>
      </c>
      <c r="M213" s="437"/>
      <c r="N213" s="437"/>
      <c r="O213" s="438"/>
      <c r="P213" s="438"/>
      <c r="Q213" s="619">
        <f>+Q214</f>
        <v>7031086810.3500004</v>
      </c>
      <c r="R213" s="619">
        <f t="shared" ref="R213:S213" si="217">+R214</f>
        <v>0</v>
      </c>
      <c r="S213" s="619">
        <f t="shared" si="217"/>
        <v>3347411360</v>
      </c>
      <c r="T213" s="439"/>
      <c r="U213" s="662"/>
      <c r="V213" s="665"/>
      <c r="W213" s="684">
        <f t="shared" ref="W213:AB213" si="218">+W214</f>
        <v>2427998065</v>
      </c>
      <c r="X213" s="684">
        <f t="shared" si="218"/>
        <v>2948848065</v>
      </c>
      <c r="Y213" s="684">
        <f>+Y214</f>
        <v>464561530</v>
      </c>
      <c r="Z213" s="684">
        <f>+Z214</f>
        <v>2458134873.3499999</v>
      </c>
      <c r="AA213" s="684">
        <f t="shared" si="218"/>
        <v>2484286535</v>
      </c>
      <c r="AB213" s="684">
        <f t="shared" si="218"/>
        <v>2458134873.3499999</v>
      </c>
      <c r="AC213" s="674"/>
      <c r="AG213" s="661"/>
    </row>
    <row r="214" spans="2:33" ht="57" customHeight="1" outlineLevel="1" x14ac:dyDescent="0.2">
      <c r="B214" s="520" t="s">
        <v>7</v>
      </c>
      <c r="C214" s="521" t="s">
        <v>27</v>
      </c>
      <c r="D214" s="521" t="s">
        <v>8</v>
      </c>
      <c r="E214" s="521" t="s">
        <v>20</v>
      </c>
      <c r="F214" s="521" t="s">
        <v>13</v>
      </c>
      <c r="G214" s="521" t="s">
        <v>12</v>
      </c>
      <c r="H214" s="521"/>
      <c r="I214" s="521"/>
      <c r="J214" s="522"/>
      <c r="K214" s="520"/>
      <c r="L214" s="649" t="s">
        <v>77</v>
      </c>
      <c r="M214" s="523"/>
      <c r="N214" s="523"/>
      <c r="O214" s="524"/>
      <c r="P214" s="524"/>
      <c r="Q214" s="626">
        <f>+Q215+Q231+Q234</f>
        <v>7031086810.3500004</v>
      </c>
      <c r="R214" s="626">
        <f>+R215+R231+R234</f>
        <v>0</v>
      </c>
      <c r="S214" s="626">
        <f>+S215+S231+S234</f>
        <v>3347411360</v>
      </c>
      <c r="T214" s="525"/>
      <c r="U214" s="662"/>
      <c r="V214" s="665"/>
      <c r="W214" s="684">
        <f t="shared" ref="W214:AB214" si="219">+W215+W231+W234</f>
        <v>2427998065</v>
      </c>
      <c r="X214" s="684">
        <f t="shared" si="219"/>
        <v>2948848065</v>
      </c>
      <c r="Y214" s="684">
        <f t="shared" si="219"/>
        <v>464561530</v>
      </c>
      <c r="Z214" s="684">
        <f t="shared" si="219"/>
        <v>2458134873.3499999</v>
      </c>
      <c r="AA214" s="684">
        <f t="shared" si="219"/>
        <v>2484286535</v>
      </c>
      <c r="AB214" s="684">
        <f t="shared" si="219"/>
        <v>2458134873.3499999</v>
      </c>
      <c r="AG214" s="661"/>
    </row>
    <row r="215" spans="2:33" ht="15" customHeight="1" outlineLevel="1" x14ac:dyDescent="0.2">
      <c r="B215" s="446" t="s">
        <v>7</v>
      </c>
      <c r="C215" s="447" t="s">
        <v>27</v>
      </c>
      <c r="D215" s="447" t="s">
        <v>8</v>
      </c>
      <c r="E215" s="447" t="s">
        <v>20</v>
      </c>
      <c r="F215" s="447" t="s">
        <v>13</v>
      </c>
      <c r="G215" s="447" t="s">
        <v>12</v>
      </c>
      <c r="H215" s="447" t="s">
        <v>27</v>
      </c>
      <c r="I215" s="447"/>
      <c r="J215" s="449"/>
      <c r="K215" s="446"/>
      <c r="L215" s="643" t="s">
        <v>78</v>
      </c>
      <c r="M215" s="450"/>
      <c r="N215" s="450"/>
      <c r="O215" s="451"/>
      <c r="P215" s="451"/>
      <c r="Q215" s="621">
        <f>SUM(Q216:Q230)</f>
        <v>5957436810.3500004</v>
      </c>
      <c r="R215" s="621">
        <f>SUM(R216:R230)</f>
        <v>0</v>
      </c>
      <c r="S215" s="621">
        <f>SUM(S216:S230)</f>
        <v>3347411360</v>
      </c>
      <c r="T215" s="467"/>
      <c r="U215" s="662"/>
      <c r="V215" s="665"/>
      <c r="W215" s="684">
        <f t="shared" ref="W215:AB215" si="220">SUM(W216:W230)</f>
        <v>1344448065</v>
      </c>
      <c r="X215" s="684">
        <f t="shared" si="220"/>
        <v>1906948065</v>
      </c>
      <c r="Y215" s="684">
        <f t="shared" si="220"/>
        <v>3911530</v>
      </c>
      <c r="Z215" s="684">
        <f t="shared" si="220"/>
        <v>2426384873.3499999</v>
      </c>
      <c r="AA215" s="684">
        <f t="shared" si="220"/>
        <v>1903036535</v>
      </c>
      <c r="AB215" s="684">
        <f t="shared" si="220"/>
        <v>2426384873.3499999</v>
      </c>
      <c r="AG215" s="661"/>
    </row>
    <row r="216" spans="2:33" ht="201.75" customHeight="1" outlineLevel="1" x14ac:dyDescent="0.2">
      <c r="B216" s="758"/>
      <c r="C216" s="754"/>
      <c r="D216" s="754"/>
      <c r="E216" s="754"/>
      <c r="F216" s="754"/>
      <c r="G216" s="754"/>
      <c r="H216" s="754"/>
      <c r="I216" s="754"/>
      <c r="J216" s="754"/>
      <c r="K216" s="453" t="s">
        <v>335</v>
      </c>
      <c r="L216" s="454" t="s">
        <v>591</v>
      </c>
      <c r="M216" s="455">
        <v>44757</v>
      </c>
      <c r="N216" s="455" t="s">
        <v>713</v>
      </c>
      <c r="O216" s="456" t="s">
        <v>337</v>
      </c>
      <c r="P216" s="456" t="s">
        <v>336</v>
      </c>
      <c r="Q216" s="457">
        <f>3588520512-24500000-33600000-16800000-5500000-1000000000-508120512</f>
        <v>2000000000</v>
      </c>
      <c r="R216" s="458"/>
      <c r="S216" s="496"/>
      <c r="T216" s="460" t="s">
        <v>221</v>
      </c>
      <c r="U216" s="432"/>
      <c r="V216" s="433"/>
      <c r="W216" s="419"/>
      <c r="X216" s="419"/>
      <c r="Y216" s="689">
        <f t="shared" ref="Y216:Y230" si="221">+X216-AA216</f>
        <v>0</v>
      </c>
      <c r="Z216" s="689">
        <f t="shared" ref="Z216:Z230" si="222">+Q216-X216</f>
        <v>2000000000</v>
      </c>
      <c r="AA216" s="419"/>
      <c r="AB216" s="419">
        <f t="shared" ref="AB216:AB230" si="223">(Q216-X216)</f>
        <v>2000000000</v>
      </c>
      <c r="AG216" s="661"/>
    </row>
    <row r="217" spans="2:33" ht="201.75" customHeight="1" outlineLevel="1" x14ac:dyDescent="0.2">
      <c r="B217" s="761"/>
      <c r="C217" s="756"/>
      <c r="D217" s="756"/>
      <c r="E217" s="756"/>
      <c r="F217" s="756"/>
      <c r="G217" s="756"/>
      <c r="H217" s="756"/>
      <c r="I217" s="756"/>
      <c r="J217" s="756"/>
      <c r="K217" s="453" t="s">
        <v>335</v>
      </c>
      <c r="L217" s="454" t="s">
        <v>715</v>
      </c>
      <c r="M217" s="455">
        <v>44835</v>
      </c>
      <c r="N217" s="455" t="s">
        <v>580</v>
      </c>
      <c r="O217" s="456" t="s">
        <v>296</v>
      </c>
      <c r="P217" s="456" t="s">
        <v>336</v>
      </c>
      <c r="Q217" s="457">
        <v>508120512</v>
      </c>
      <c r="R217" s="458" t="s">
        <v>708</v>
      </c>
      <c r="S217" s="693">
        <v>1000000000</v>
      </c>
      <c r="T217" s="460"/>
      <c r="U217" s="432"/>
      <c r="V217" s="433"/>
      <c r="W217" s="419"/>
      <c r="X217" s="419"/>
      <c r="Y217" s="689"/>
      <c r="Z217" s="689"/>
      <c r="AA217" s="419"/>
      <c r="AB217" s="419"/>
      <c r="AG217" s="661"/>
    </row>
    <row r="218" spans="2:33" ht="58.5" customHeight="1" outlineLevel="1" x14ac:dyDescent="0.2">
      <c r="B218" s="761"/>
      <c r="C218" s="756"/>
      <c r="D218" s="756"/>
      <c r="E218" s="756"/>
      <c r="F218" s="756"/>
      <c r="G218" s="756"/>
      <c r="H218" s="756"/>
      <c r="I218" s="756"/>
      <c r="J218" s="756"/>
      <c r="K218" s="453">
        <v>72101500</v>
      </c>
      <c r="L218" s="454" t="s">
        <v>670</v>
      </c>
      <c r="M218" s="455">
        <v>44593</v>
      </c>
      <c r="N218" s="455" t="s">
        <v>550</v>
      </c>
      <c r="O218" s="456" t="s">
        <v>673</v>
      </c>
      <c r="P218" s="456" t="s">
        <v>338</v>
      </c>
      <c r="Q218" s="457">
        <f>24500000+5500000</f>
        <v>30000000</v>
      </c>
      <c r="R218" s="530"/>
      <c r="S218" s="496"/>
      <c r="T218" s="460" t="s">
        <v>221</v>
      </c>
      <c r="U218" s="432">
        <v>7722</v>
      </c>
      <c r="V218" s="433">
        <v>44580</v>
      </c>
      <c r="W218" s="419">
        <v>24500000</v>
      </c>
      <c r="X218" s="419">
        <v>30000000</v>
      </c>
      <c r="Y218" s="689">
        <f t="shared" si="221"/>
        <v>0</v>
      </c>
      <c r="Z218" s="689">
        <f t="shared" si="222"/>
        <v>0</v>
      </c>
      <c r="AA218" s="419">
        <v>30000000</v>
      </c>
      <c r="AB218" s="419">
        <f t="shared" si="223"/>
        <v>0</v>
      </c>
      <c r="AG218" s="661"/>
    </row>
    <row r="219" spans="2:33" ht="58.5" customHeight="1" outlineLevel="1" x14ac:dyDescent="0.2">
      <c r="B219" s="761"/>
      <c r="C219" s="756"/>
      <c r="D219" s="756"/>
      <c r="E219" s="756"/>
      <c r="F219" s="756"/>
      <c r="G219" s="756"/>
      <c r="H219" s="756"/>
      <c r="I219" s="756"/>
      <c r="J219" s="756"/>
      <c r="K219" s="453">
        <v>72101500</v>
      </c>
      <c r="L219" s="454" t="s">
        <v>671</v>
      </c>
      <c r="M219" s="455">
        <v>44593</v>
      </c>
      <c r="N219" s="455" t="s">
        <v>550</v>
      </c>
      <c r="O219" s="456" t="s">
        <v>673</v>
      </c>
      <c r="P219" s="456" t="s">
        <v>338</v>
      </c>
      <c r="Q219" s="457">
        <v>33600000</v>
      </c>
      <c r="R219" s="458"/>
      <c r="S219" s="496"/>
      <c r="T219" s="460" t="s">
        <v>221</v>
      </c>
      <c r="U219" s="432">
        <v>7522</v>
      </c>
      <c r="V219" s="433">
        <v>44580</v>
      </c>
      <c r="W219" s="419">
        <v>33600000</v>
      </c>
      <c r="X219" s="419">
        <v>33600000</v>
      </c>
      <c r="Y219" s="689">
        <f t="shared" si="221"/>
        <v>0</v>
      </c>
      <c r="Z219" s="689">
        <f t="shared" si="222"/>
        <v>0</v>
      </c>
      <c r="AA219" s="419">
        <v>33600000</v>
      </c>
      <c r="AB219" s="419">
        <f t="shared" si="223"/>
        <v>0</v>
      </c>
      <c r="AG219" s="661"/>
    </row>
    <row r="220" spans="2:33" ht="58.5" customHeight="1" outlineLevel="1" x14ac:dyDescent="0.2">
      <c r="B220" s="761"/>
      <c r="C220" s="756"/>
      <c r="D220" s="756"/>
      <c r="E220" s="756"/>
      <c r="F220" s="756"/>
      <c r="G220" s="756"/>
      <c r="H220" s="756"/>
      <c r="I220" s="756"/>
      <c r="J220" s="756"/>
      <c r="K220" s="453">
        <v>72101500</v>
      </c>
      <c r="L220" s="454" t="s">
        <v>672</v>
      </c>
      <c r="M220" s="455">
        <v>44593</v>
      </c>
      <c r="N220" s="455" t="s">
        <v>550</v>
      </c>
      <c r="O220" s="456" t="s">
        <v>673</v>
      </c>
      <c r="P220" s="456" t="s">
        <v>338</v>
      </c>
      <c r="Q220" s="457">
        <v>16800000</v>
      </c>
      <c r="R220" s="458"/>
      <c r="S220" s="496"/>
      <c r="T220" s="460" t="s">
        <v>221</v>
      </c>
      <c r="U220" s="432">
        <v>7822</v>
      </c>
      <c r="V220" s="433">
        <v>44611</v>
      </c>
      <c r="W220" s="419">
        <v>16800000</v>
      </c>
      <c r="X220" s="419">
        <v>16800000</v>
      </c>
      <c r="Y220" s="689">
        <f t="shared" si="221"/>
        <v>0</v>
      </c>
      <c r="Z220" s="689">
        <f t="shared" si="222"/>
        <v>0</v>
      </c>
      <c r="AA220" s="419">
        <v>16800000</v>
      </c>
      <c r="AB220" s="419">
        <f t="shared" si="223"/>
        <v>0</v>
      </c>
      <c r="AG220" s="661"/>
    </row>
    <row r="221" spans="2:33" ht="71.25" customHeight="1" outlineLevel="1" x14ac:dyDescent="0.2">
      <c r="B221" s="761"/>
      <c r="C221" s="756"/>
      <c r="D221" s="756"/>
      <c r="E221" s="756"/>
      <c r="F221" s="756"/>
      <c r="G221" s="756"/>
      <c r="H221" s="756"/>
      <c r="I221" s="756"/>
      <c r="J221" s="756"/>
      <c r="K221" s="453" t="s">
        <v>335</v>
      </c>
      <c r="L221" s="454" t="s">
        <v>602</v>
      </c>
      <c r="M221" s="455" t="s">
        <v>649</v>
      </c>
      <c r="N221" s="455" t="s">
        <v>649</v>
      </c>
      <c r="O221" s="455" t="s">
        <v>649</v>
      </c>
      <c r="P221" s="456" t="s">
        <v>336</v>
      </c>
      <c r="Q221" s="457">
        <f>966140000+320000000+180000000+1000000000-1000000000</f>
        <v>1466140000</v>
      </c>
      <c r="R221" s="531"/>
      <c r="S221" s="496"/>
      <c r="T221" s="460" t="s">
        <v>221</v>
      </c>
      <c r="U221" s="432">
        <v>2522</v>
      </c>
      <c r="V221" s="433">
        <v>44572</v>
      </c>
      <c r="W221" s="419">
        <v>966140000</v>
      </c>
      <c r="X221" s="419">
        <v>1466140000</v>
      </c>
      <c r="Y221" s="689">
        <f t="shared" si="221"/>
        <v>0</v>
      </c>
      <c r="Z221" s="689">
        <f t="shared" si="222"/>
        <v>0</v>
      </c>
      <c r="AA221" s="419">
        <v>1466140000</v>
      </c>
      <c r="AB221" s="419">
        <f t="shared" si="223"/>
        <v>0</v>
      </c>
      <c r="AG221" s="661"/>
    </row>
    <row r="222" spans="2:33" ht="71.25" customHeight="1" outlineLevel="1" x14ac:dyDescent="0.2">
      <c r="B222" s="761"/>
      <c r="C222" s="756"/>
      <c r="D222" s="756"/>
      <c r="E222" s="756"/>
      <c r="F222" s="756"/>
      <c r="G222" s="756"/>
      <c r="H222" s="756"/>
      <c r="I222" s="756"/>
      <c r="J222" s="756"/>
      <c r="K222" s="453" t="s">
        <v>335</v>
      </c>
      <c r="L222" s="454" t="s">
        <v>707</v>
      </c>
      <c r="M222" s="455">
        <v>44757</v>
      </c>
      <c r="N222" s="455" t="s">
        <v>713</v>
      </c>
      <c r="O222" s="455" t="s">
        <v>337</v>
      </c>
      <c r="P222" s="456" t="s">
        <v>336</v>
      </c>
      <c r="Q222" s="457">
        <v>1000000000</v>
      </c>
      <c r="R222" s="531"/>
      <c r="S222" s="496"/>
      <c r="T222" s="460"/>
      <c r="U222" s="432"/>
      <c r="V222" s="433"/>
      <c r="W222" s="419"/>
      <c r="X222" s="419"/>
      <c r="Y222" s="689"/>
      <c r="Z222" s="689"/>
      <c r="AA222" s="419"/>
      <c r="AB222" s="419"/>
      <c r="AG222" s="661"/>
    </row>
    <row r="223" spans="2:33" ht="71.25" customHeight="1" outlineLevel="1" x14ac:dyDescent="0.2">
      <c r="B223" s="761"/>
      <c r="C223" s="756"/>
      <c r="D223" s="756"/>
      <c r="E223" s="756"/>
      <c r="F223" s="756"/>
      <c r="G223" s="756"/>
      <c r="H223" s="756"/>
      <c r="I223" s="756"/>
      <c r="J223" s="756"/>
      <c r="K223" s="453" t="s">
        <v>335</v>
      </c>
      <c r="L223" s="454" t="s">
        <v>603</v>
      </c>
      <c r="M223" s="455">
        <v>44743</v>
      </c>
      <c r="N223" s="455" t="s">
        <v>579</v>
      </c>
      <c r="O223" s="456" t="s">
        <v>504</v>
      </c>
      <c r="P223" s="456" t="s">
        <v>336</v>
      </c>
      <c r="Q223" s="457">
        <f>644838150-320000000-180000000+13692580+91469270</f>
        <v>250000000</v>
      </c>
      <c r="R223" s="458" t="s">
        <v>322</v>
      </c>
      <c r="S223" s="457">
        <v>1795000000</v>
      </c>
      <c r="T223" s="460" t="s">
        <v>221</v>
      </c>
      <c r="U223" s="432"/>
      <c r="V223" s="433"/>
      <c r="W223" s="419"/>
      <c r="X223" s="419"/>
      <c r="Y223" s="689">
        <f t="shared" si="221"/>
        <v>0</v>
      </c>
      <c r="Z223" s="689">
        <f t="shared" si="222"/>
        <v>250000000</v>
      </c>
      <c r="AA223" s="419"/>
      <c r="AB223" s="419">
        <f t="shared" si="223"/>
        <v>250000000</v>
      </c>
      <c r="AG223" s="661"/>
    </row>
    <row r="224" spans="2:33" ht="75" outlineLevel="1" x14ac:dyDescent="0.2">
      <c r="B224" s="761"/>
      <c r="C224" s="756"/>
      <c r="D224" s="756"/>
      <c r="E224" s="756"/>
      <c r="F224" s="756"/>
      <c r="G224" s="756"/>
      <c r="H224" s="756"/>
      <c r="I224" s="756"/>
      <c r="J224" s="756"/>
      <c r="K224" s="453" t="s">
        <v>315</v>
      </c>
      <c r="L224" s="454" t="s">
        <v>650</v>
      </c>
      <c r="M224" s="455">
        <v>44581</v>
      </c>
      <c r="N224" s="455" t="s">
        <v>471</v>
      </c>
      <c r="O224" s="456" t="s">
        <v>647</v>
      </c>
      <c r="P224" s="455" t="s">
        <v>543</v>
      </c>
      <c r="Q224" s="457">
        <f>183902950+45000000-45000000+31334117</f>
        <v>215237067</v>
      </c>
      <c r="R224" s="458"/>
      <c r="S224" s="532"/>
      <c r="T224" s="460" t="s">
        <v>221</v>
      </c>
      <c r="U224" s="748">
        <v>7222</v>
      </c>
      <c r="V224" s="433">
        <v>44580</v>
      </c>
      <c r="W224" s="419">
        <f>183902950</f>
        <v>183902950</v>
      </c>
      <c r="X224" s="419">
        <f>183902950</f>
        <v>183902950</v>
      </c>
      <c r="Y224" s="689">
        <f t="shared" si="221"/>
        <v>0</v>
      </c>
      <c r="Z224" s="689">
        <f t="shared" si="222"/>
        <v>31334117</v>
      </c>
      <c r="AA224" s="419">
        <f>188391420-4488470</f>
        <v>183902950</v>
      </c>
      <c r="AB224" s="419">
        <f t="shared" si="223"/>
        <v>31334117</v>
      </c>
      <c r="AG224" s="661"/>
    </row>
    <row r="225" spans="2:33" ht="60" outlineLevel="1" x14ac:dyDescent="0.2">
      <c r="B225" s="761"/>
      <c r="C225" s="756"/>
      <c r="D225" s="756"/>
      <c r="E225" s="756"/>
      <c r="F225" s="756"/>
      <c r="G225" s="756"/>
      <c r="H225" s="756"/>
      <c r="I225" s="756"/>
      <c r="J225" s="756"/>
      <c r="K225" s="453" t="s">
        <v>588</v>
      </c>
      <c r="L225" s="454" t="s">
        <v>607</v>
      </c>
      <c r="M225" s="455">
        <v>44581</v>
      </c>
      <c r="N225" s="455" t="s">
        <v>471</v>
      </c>
      <c r="O225" s="456" t="s">
        <v>647</v>
      </c>
      <c r="P225" s="455" t="s">
        <v>543</v>
      </c>
      <c r="Q225" s="468">
        <v>8400000</v>
      </c>
      <c r="R225" s="458"/>
      <c r="S225" s="459"/>
      <c r="T225" s="460" t="s">
        <v>221</v>
      </c>
      <c r="U225" s="749"/>
      <c r="V225" s="433"/>
      <c r="W225" s="419">
        <v>8400000</v>
      </c>
      <c r="X225" s="419">
        <v>8400000</v>
      </c>
      <c r="Y225" s="689">
        <f t="shared" si="221"/>
        <v>3911530</v>
      </c>
      <c r="Z225" s="689">
        <f t="shared" si="222"/>
        <v>0</v>
      </c>
      <c r="AA225" s="419">
        <v>4488470</v>
      </c>
      <c r="AB225" s="419">
        <f t="shared" si="223"/>
        <v>0</v>
      </c>
      <c r="AG225" s="661"/>
    </row>
    <row r="226" spans="2:33" ht="57.75" customHeight="1" outlineLevel="1" x14ac:dyDescent="0.2">
      <c r="B226" s="761"/>
      <c r="C226" s="756"/>
      <c r="D226" s="756"/>
      <c r="E226" s="756"/>
      <c r="F226" s="756"/>
      <c r="G226" s="756"/>
      <c r="H226" s="756"/>
      <c r="I226" s="756"/>
      <c r="J226" s="756"/>
      <c r="K226" s="453" t="s">
        <v>315</v>
      </c>
      <c r="L226" s="454" t="s">
        <v>604</v>
      </c>
      <c r="M226" s="455">
        <v>44854</v>
      </c>
      <c r="N226" s="455" t="s">
        <v>580</v>
      </c>
      <c r="O226" s="455" t="s">
        <v>326</v>
      </c>
      <c r="P226" s="456" t="s">
        <v>317</v>
      </c>
      <c r="Q226" s="457">
        <f>109816333-45000000+45000000-13692580-31334117</f>
        <v>64789636</v>
      </c>
      <c r="R226" s="458" t="s">
        <v>322</v>
      </c>
      <c r="S226" s="457">
        <v>274710240</v>
      </c>
      <c r="T226" s="460" t="s">
        <v>221</v>
      </c>
      <c r="U226" s="432"/>
      <c r="V226" s="433"/>
      <c r="W226" s="419"/>
      <c r="X226" s="419"/>
      <c r="Y226" s="689">
        <f t="shared" si="221"/>
        <v>0</v>
      </c>
      <c r="Z226" s="689">
        <f t="shared" si="222"/>
        <v>64789636</v>
      </c>
      <c r="AA226" s="419"/>
      <c r="AB226" s="419">
        <f t="shared" si="223"/>
        <v>64789636</v>
      </c>
      <c r="AG226" s="661"/>
    </row>
    <row r="227" spans="2:33" ht="59.25" customHeight="1" outlineLevel="1" x14ac:dyDescent="0.2">
      <c r="B227" s="761"/>
      <c r="C227" s="756"/>
      <c r="D227" s="756"/>
      <c r="E227" s="756"/>
      <c r="F227" s="756"/>
      <c r="G227" s="756"/>
      <c r="H227" s="756"/>
      <c r="I227" s="756"/>
      <c r="J227" s="756"/>
      <c r="K227" s="463">
        <v>72154100</v>
      </c>
      <c r="L227" s="454" t="s">
        <v>605</v>
      </c>
      <c r="M227" s="455" t="s">
        <v>649</v>
      </c>
      <c r="N227" s="455" t="s">
        <v>649</v>
      </c>
      <c r="O227" s="455" t="s">
        <v>649</v>
      </c>
      <c r="P227" s="456" t="s">
        <v>543</v>
      </c>
      <c r="Q227" s="457">
        <f>111105115+57000000+20500000</f>
        <v>188605115</v>
      </c>
      <c r="R227" s="531"/>
      <c r="S227" s="468"/>
      <c r="T227" s="460" t="s">
        <v>221</v>
      </c>
      <c r="U227" s="432">
        <v>2722</v>
      </c>
      <c r="V227" s="433">
        <v>44572</v>
      </c>
      <c r="W227" s="419">
        <v>111105115</v>
      </c>
      <c r="X227" s="419">
        <v>168105115</v>
      </c>
      <c r="Y227" s="689">
        <f t="shared" si="221"/>
        <v>0</v>
      </c>
      <c r="Z227" s="689">
        <f t="shared" si="222"/>
        <v>20500000</v>
      </c>
      <c r="AA227" s="419">
        <v>168105115</v>
      </c>
      <c r="AB227" s="419">
        <f t="shared" si="223"/>
        <v>20500000</v>
      </c>
      <c r="AG227" s="661"/>
    </row>
    <row r="228" spans="2:33" ht="65.25" customHeight="1" outlineLevel="1" x14ac:dyDescent="0.2">
      <c r="B228" s="761"/>
      <c r="C228" s="756"/>
      <c r="D228" s="756"/>
      <c r="E228" s="756"/>
      <c r="F228" s="756"/>
      <c r="G228" s="756"/>
      <c r="H228" s="756"/>
      <c r="I228" s="756"/>
      <c r="J228" s="756"/>
      <c r="K228" s="453">
        <v>72154100</v>
      </c>
      <c r="L228" s="454" t="s">
        <v>606</v>
      </c>
      <c r="M228" s="455">
        <v>44640</v>
      </c>
      <c r="N228" s="455" t="s">
        <v>466</v>
      </c>
      <c r="O228" s="455" t="s">
        <v>301</v>
      </c>
      <c r="P228" s="456" t="s">
        <v>644</v>
      </c>
      <c r="Q228" s="457">
        <f>323613750.35-57000000-20500000-91469270-115983360</f>
        <v>38661120.350000024</v>
      </c>
      <c r="R228" s="458" t="s">
        <v>322</v>
      </c>
      <c r="S228" s="457">
        <v>277701120</v>
      </c>
      <c r="T228" s="460" t="s">
        <v>221</v>
      </c>
      <c r="U228" s="432"/>
      <c r="V228" s="433"/>
      <c r="W228" s="419"/>
      <c r="X228" s="419"/>
      <c r="Y228" s="689">
        <f t="shared" si="221"/>
        <v>0</v>
      </c>
      <c r="Z228" s="689">
        <f t="shared" si="222"/>
        <v>38661120.350000024</v>
      </c>
      <c r="AA228" s="419"/>
      <c r="AB228" s="419">
        <f t="shared" si="223"/>
        <v>38661120.350000024</v>
      </c>
      <c r="AG228" s="661"/>
    </row>
    <row r="229" spans="2:33" ht="65.25" customHeight="1" outlineLevel="1" x14ac:dyDescent="0.2">
      <c r="B229" s="761"/>
      <c r="C229" s="756"/>
      <c r="D229" s="756"/>
      <c r="E229" s="756"/>
      <c r="F229" s="756"/>
      <c r="G229" s="756"/>
      <c r="H229" s="756"/>
      <c r="I229" s="756"/>
      <c r="J229" s="756"/>
      <c r="K229" s="453">
        <v>72154100</v>
      </c>
      <c r="L229" s="454" t="s">
        <v>431</v>
      </c>
      <c r="M229" s="455">
        <v>44757</v>
      </c>
      <c r="N229" s="455" t="s">
        <v>714</v>
      </c>
      <c r="O229" s="455" t="s">
        <v>332</v>
      </c>
      <c r="P229" s="456" t="s">
        <v>543</v>
      </c>
      <c r="Q229" s="457">
        <v>115983360</v>
      </c>
      <c r="R229" s="458"/>
      <c r="S229" s="457"/>
      <c r="T229" s="460"/>
      <c r="U229" s="432"/>
      <c r="V229" s="433"/>
      <c r="W229" s="419"/>
      <c r="X229" s="419"/>
      <c r="Y229" s="689"/>
      <c r="Z229" s="689"/>
      <c r="AA229" s="419"/>
      <c r="AB229" s="419"/>
      <c r="AG229" s="661"/>
    </row>
    <row r="230" spans="2:33" ht="45" outlineLevel="1" x14ac:dyDescent="0.2">
      <c r="B230" s="761"/>
      <c r="C230" s="756"/>
      <c r="D230" s="756"/>
      <c r="E230" s="756"/>
      <c r="F230" s="756"/>
      <c r="G230" s="756"/>
      <c r="H230" s="756"/>
      <c r="I230" s="756"/>
      <c r="J230" s="756"/>
      <c r="K230" s="453" t="s">
        <v>316</v>
      </c>
      <c r="L230" s="454" t="s">
        <v>505</v>
      </c>
      <c r="M230" s="455">
        <v>44713</v>
      </c>
      <c r="N230" s="455" t="s">
        <v>572</v>
      </c>
      <c r="O230" s="456" t="s">
        <v>337</v>
      </c>
      <c r="P230" s="456" t="s">
        <v>645</v>
      </c>
      <c r="Q230" s="457">
        <v>21100000</v>
      </c>
      <c r="R230" s="458"/>
      <c r="S230" s="459"/>
      <c r="T230" s="460" t="s">
        <v>221</v>
      </c>
      <c r="U230" s="432"/>
      <c r="V230" s="433"/>
      <c r="W230" s="419"/>
      <c r="X230" s="419"/>
      <c r="Y230" s="689">
        <f t="shared" si="221"/>
        <v>0</v>
      </c>
      <c r="Z230" s="689">
        <f t="shared" si="222"/>
        <v>21100000</v>
      </c>
      <c r="AA230" s="419"/>
      <c r="AB230" s="419">
        <f t="shared" si="223"/>
        <v>21100000</v>
      </c>
      <c r="AG230" s="661"/>
    </row>
    <row r="231" spans="2:33" ht="15" customHeight="1" outlineLevel="1" x14ac:dyDescent="0.2">
      <c r="B231" s="446" t="s">
        <v>7</v>
      </c>
      <c r="C231" s="447" t="s">
        <v>27</v>
      </c>
      <c r="D231" s="447" t="s">
        <v>8</v>
      </c>
      <c r="E231" s="447" t="s">
        <v>20</v>
      </c>
      <c r="F231" s="447" t="s">
        <v>13</v>
      </c>
      <c r="G231" s="447" t="s">
        <v>12</v>
      </c>
      <c r="H231" s="447" t="s">
        <v>28</v>
      </c>
      <c r="I231" s="447"/>
      <c r="J231" s="449"/>
      <c r="K231" s="446"/>
      <c r="L231" s="643" t="s">
        <v>79</v>
      </c>
      <c r="M231" s="450"/>
      <c r="N231" s="450"/>
      <c r="O231" s="451"/>
      <c r="P231" s="451"/>
      <c r="Q231" s="621">
        <f>SUM(Q232:Q233)</f>
        <v>86400000</v>
      </c>
      <c r="R231" s="621">
        <f t="shared" ref="R231:S231" si="224">SUM(R232:R233)</f>
        <v>0</v>
      </c>
      <c r="S231" s="621">
        <f t="shared" si="224"/>
        <v>0</v>
      </c>
      <c r="T231" s="467"/>
      <c r="U231" s="662"/>
      <c r="V231" s="665"/>
      <c r="W231" s="684">
        <f t="shared" ref="W231:AB231" si="225">SUM(W232:W233)</f>
        <v>87600000</v>
      </c>
      <c r="X231" s="684">
        <f t="shared" si="225"/>
        <v>86400000</v>
      </c>
      <c r="Y231" s="684">
        <f>SUM(Y232:Y233)</f>
        <v>68400000</v>
      </c>
      <c r="Z231" s="684">
        <f>SUM(Z232:Z233)</f>
        <v>0</v>
      </c>
      <c r="AA231" s="684">
        <f t="shared" si="225"/>
        <v>18000000</v>
      </c>
      <c r="AB231" s="684">
        <f t="shared" si="225"/>
        <v>0</v>
      </c>
      <c r="AG231" s="661"/>
    </row>
    <row r="232" spans="2:33" ht="30" outlineLevel="1" x14ac:dyDescent="0.2">
      <c r="B232" s="761"/>
      <c r="C232" s="756"/>
      <c r="D232" s="756"/>
      <c r="E232" s="756"/>
      <c r="F232" s="756"/>
      <c r="G232" s="756"/>
      <c r="H232" s="756"/>
      <c r="I232" s="756"/>
      <c r="J232" s="756"/>
      <c r="K232" s="463">
        <v>72101500</v>
      </c>
      <c r="L232" s="454" t="s">
        <v>506</v>
      </c>
      <c r="M232" s="455">
        <v>44572</v>
      </c>
      <c r="N232" s="455" t="s">
        <v>471</v>
      </c>
      <c r="O232" s="456" t="s">
        <v>324</v>
      </c>
      <c r="P232" s="456" t="s">
        <v>338</v>
      </c>
      <c r="Q232" s="457">
        <f>27600000-1200000</f>
        <v>26400000</v>
      </c>
      <c r="R232" s="458" t="s">
        <v>350</v>
      </c>
      <c r="S232" s="468"/>
      <c r="T232" s="460" t="s">
        <v>221</v>
      </c>
      <c r="U232" s="432">
        <v>422</v>
      </c>
      <c r="V232" s="433">
        <v>44566</v>
      </c>
      <c r="W232" s="419">
        <v>27600000</v>
      </c>
      <c r="X232" s="419">
        <v>26400000</v>
      </c>
      <c r="Y232" s="689">
        <f>+X232-AA232</f>
        <v>8400000</v>
      </c>
      <c r="Z232" s="689">
        <f>+Q232-X232</f>
        <v>0</v>
      </c>
      <c r="AA232" s="419">
        <v>18000000</v>
      </c>
      <c r="AB232" s="419">
        <f>(Q232-X232)</f>
        <v>0</v>
      </c>
      <c r="AG232" s="661"/>
    </row>
    <row r="233" spans="2:33" ht="60" outlineLevel="1" x14ac:dyDescent="0.2">
      <c r="B233" s="761"/>
      <c r="C233" s="756"/>
      <c r="D233" s="756"/>
      <c r="E233" s="756"/>
      <c r="F233" s="756"/>
      <c r="G233" s="756"/>
      <c r="H233" s="756"/>
      <c r="I233" s="756"/>
      <c r="J233" s="756"/>
      <c r="K233" s="463">
        <v>46171600</v>
      </c>
      <c r="L233" s="454" t="s">
        <v>567</v>
      </c>
      <c r="M233" s="455">
        <v>44640</v>
      </c>
      <c r="N233" s="455" t="s">
        <v>469</v>
      </c>
      <c r="O233" s="456" t="s">
        <v>301</v>
      </c>
      <c r="P233" s="456" t="s">
        <v>543</v>
      </c>
      <c r="Q233" s="468">
        <v>60000000</v>
      </c>
      <c r="R233" s="458" t="s">
        <v>350</v>
      </c>
      <c r="S233" s="459"/>
      <c r="T233" s="460" t="s">
        <v>181</v>
      </c>
      <c r="U233" s="432">
        <v>27022</v>
      </c>
      <c r="V233" s="433">
        <v>44629</v>
      </c>
      <c r="W233" s="419">
        <v>60000000</v>
      </c>
      <c r="X233" s="419">
        <v>60000000</v>
      </c>
      <c r="Y233" s="689">
        <f>+X233-AA233</f>
        <v>60000000</v>
      </c>
      <c r="Z233" s="689">
        <f>+Q233-X233</f>
        <v>0</v>
      </c>
      <c r="AA233" s="419"/>
      <c r="AB233" s="419">
        <f>(Q233-X233)</f>
        <v>0</v>
      </c>
      <c r="AG233" s="661"/>
    </row>
    <row r="234" spans="2:33" ht="15" customHeight="1" outlineLevel="1" x14ac:dyDescent="0.2">
      <c r="B234" s="446" t="s">
        <v>7</v>
      </c>
      <c r="C234" s="447" t="s">
        <v>27</v>
      </c>
      <c r="D234" s="447" t="s">
        <v>8</v>
      </c>
      <c r="E234" s="447" t="s">
        <v>20</v>
      </c>
      <c r="F234" s="447" t="s">
        <v>13</v>
      </c>
      <c r="G234" s="447" t="s">
        <v>12</v>
      </c>
      <c r="H234" s="447" t="s">
        <v>29</v>
      </c>
      <c r="I234" s="447"/>
      <c r="J234" s="449"/>
      <c r="K234" s="446"/>
      <c r="L234" s="643" t="s">
        <v>80</v>
      </c>
      <c r="M234" s="450"/>
      <c r="N234" s="450"/>
      <c r="O234" s="451"/>
      <c r="P234" s="451"/>
      <c r="Q234" s="621">
        <f>SUM(Q235:Q237)</f>
        <v>987250000</v>
      </c>
      <c r="R234" s="621">
        <f t="shared" ref="R234:S234" si="226">SUM(R235:R237)</f>
        <v>0</v>
      </c>
      <c r="S234" s="621">
        <f t="shared" si="226"/>
        <v>0</v>
      </c>
      <c r="T234" s="467"/>
      <c r="U234" s="662"/>
      <c r="V234" s="665"/>
      <c r="W234" s="684">
        <f t="shared" ref="W234:AB234" si="227">SUM(W235:W237)</f>
        <v>995950000</v>
      </c>
      <c r="X234" s="684">
        <f t="shared" si="227"/>
        <v>955500000</v>
      </c>
      <c r="Y234" s="684">
        <f>SUM(Y235:Y237)</f>
        <v>392250000</v>
      </c>
      <c r="Z234" s="684">
        <f>SUM(Z235:Z237)</f>
        <v>31750000</v>
      </c>
      <c r="AA234" s="684">
        <f t="shared" si="227"/>
        <v>563250000</v>
      </c>
      <c r="AB234" s="684">
        <f t="shared" si="227"/>
        <v>31750000</v>
      </c>
      <c r="AG234" s="661"/>
    </row>
    <row r="235" spans="2:33" ht="60" outlineLevel="1" x14ac:dyDescent="0.2">
      <c r="B235" s="758"/>
      <c r="C235" s="754"/>
      <c r="D235" s="754"/>
      <c r="E235" s="754"/>
      <c r="F235" s="754"/>
      <c r="G235" s="754"/>
      <c r="H235" s="754"/>
      <c r="I235" s="754"/>
      <c r="J235" s="754"/>
      <c r="K235" s="463">
        <v>72101500</v>
      </c>
      <c r="L235" s="454" t="s">
        <v>507</v>
      </c>
      <c r="M235" s="455">
        <v>44572</v>
      </c>
      <c r="N235" s="455" t="s">
        <v>471</v>
      </c>
      <c r="O235" s="456" t="s">
        <v>324</v>
      </c>
      <c r="P235" s="456" t="s">
        <v>338</v>
      </c>
      <c r="Q235" s="457">
        <f>314600000-22200000-18250000</f>
        <v>274150000</v>
      </c>
      <c r="R235" s="458"/>
      <c r="S235" s="459"/>
      <c r="T235" s="460" t="s">
        <v>221</v>
      </c>
      <c r="U235" s="432">
        <v>622</v>
      </c>
      <c r="V235" s="433">
        <v>44566</v>
      </c>
      <c r="W235" s="419">
        <v>314600000</v>
      </c>
      <c r="X235" s="419">
        <v>274150000</v>
      </c>
      <c r="Y235" s="689">
        <f>+X235-AA235</f>
        <v>84400000</v>
      </c>
      <c r="Z235" s="689">
        <f>+Q235-X235</f>
        <v>0</v>
      </c>
      <c r="AA235" s="419">
        <v>189750000</v>
      </c>
      <c r="AB235" s="419">
        <f>(Q235-X235)</f>
        <v>0</v>
      </c>
      <c r="AG235" s="661"/>
    </row>
    <row r="236" spans="2:33" ht="45" outlineLevel="1" x14ac:dyDescent="0.2">
      <c r="B236" s="761"/>
      <c r="C236" s="756"/>
      <c r="D236" s="756"/>
      <c r="E236" s="756"/>
      <c r="F236" s="756"/>
      <c r="G236" s="756"/>
      <c r="H236" s="756"/>
      <c r="I236" s="756"/>
      <c r="J236" s="756"/>
      <c r="K236" s="463">
        <v>72101500</v>
      </c>
      <c r="L236" s="454" t="s">
        <v>508</v>
      </c>
      <c r="M236" s="455">
        <v>44572</v>
      </c>
      <c r="N236" s="455" t="s">
        <v>471</v>
      </c>
      <c r="O236" s="456" t="s">
        <v>324</v>
      </c>
      <c r="P236" s="456" t="s">
        <v>338</v>
      </c>
      <c r="Q236" s="457">
        <f>27600000+22200000</f>
        <v>49800000</v>
      </c>
      <c r="R236" s="458"/>
      <c r="S236" s="459"/>
      <c r="T236" s="460" t="s">
        <v>221</v>
      </c>
      <c r="U236" s="432">
        <v>722</v>
      </c>
      <c r="V236" s="433" t="s">
        <v>680</v>
      </c>
      <c r="W236" s="419">
        <v>27600000</v>
      </c>
      <c r="X236" s="419">
        <v>27600000</v>
      </c>
      <c r="Y236" s="689">
        <f>+X236-AA236</f>
        <v>9600000</v>
      </c>
      <c r="Z236" s="689">
        <f>+Q236-X236</f>
        <v>22200000</v>
      </c>
      <c r="AA236" s="419">
        <v>18000000</v>
      </c>
      <c r="AB236" s="419">
        <f>(Q236-X236)</f>
        <v>22200000</v>
      </c>
      <c r="AG236" s="661"/>
    </row>
    <row r="237" spans="2:33" ht="45" outlineLevel="1" x14ac:dyDescent="0.2">
      <c r="B237" s="761"/>
      <c r="C237" s="756"/>
      <c r="D237" s="756"/>
      <c r="E237" s="756"/>
      <c r="F237" s="756"/>
      <c r="G237" s="756"/>
      <c r="H237" s="756"/>
      <c r="I237" s="756"/>
      <c r="J237" s="756"/>
      <c r="K237" s="463">
        <v>72101500</v>
      </c>
      <c r="L237" s="454" t="s">
        <v>214</v>
      </c>
      <c r="M237" s="455">
        <v>44572</v>
      </c>
      <c r="N237" s="455" t="s">
        <v>471</v>
      </c>
      <c r="O237" s="456" t="s">
        <v>324</v>
      </c>
      <c r="P237" s="456" t="s">
        <v>338</v>
      </c>
      <c r="Q237" s="457">
        <f>653750000+18250000+1200000-9900000</f>
        <v>663300000</v>
      </c>
      <c r="R237" s="458"/>
      <c r="S237" s="459"/>
      <c r="T237" s="460" t="s">
        <v>221</v>
      </c>
      <c r="U237" s="432">
        <v>122</v>
      </c>
      <c r="V237" s="433">
        <v>44566</v>
      </c>
      <c r="W237" s="419">
        <v>653750000</v>
      </c>
      <c r="X237" s="419">
        <v>653750000</v>
      </c>
      <c r="Y237" s="689">
        <f>+X237-AA237</f>
        <v>298250000</v>
      </c>
      <c r="Z237" s="689">
        <f>+Q237-X237</f>
        <v>9550000</v>
      </c>
      <c r="AA237" s="419">
        <v>355500000</v>
      </c>
      <c r="AB237" s="419">
        <f>(Q237-X237)</f>
        <v>9550000</v>
      </c>
      <c r="AG237" s="661"/>
    </row>
    <row r="238" spans="2:33" ht="30" customHeight="1" outlineLevel="1" x14ac:dyDescent="0.2">
      <c r="B238" s="434" t="s">
        <v>7</v>
      </c>
      <c r="C238" s="435" t="s">
        <v>27</v>
      </c>
      <c r="D238" s="435" t="s">
        <v>8</v>
      </c>
      <c r="E238" s="435" t="s">
        <v>20</v>
      </c>
      <c r="F238" s="435" t="s">
        <v>15</v>
      </c>
      <c r="G238" s="435"/>
      <c r="H238" s="435"/>
      <c r="I238" s="435"/>
      <c r="J238" s="436"/>
      <c r="K238" s="434"/>
      <c r="L238" s="641" t="s">
        <v>86</v>
      </c>
      <c r="M238" s="437"/>
      <c r="N238" s="703"/>
      <c r="O238" s="438"/>
      <c r="P238" s="438"/>
      <c r="Q238" s="619">
        <f>+Q239+Q243</f>
        <v>135000000</v>
      </c>
      <c r="R238" s="619">
        <f t="shared" ref="R238:S238" si="228">+R239+R243</f>
        <v>0</v>
      </c>
      <c r="S238" s="619">
        <f t="shared" si="228"/>
        <v>0</v>
      </c>
      <c r="T238" s="439"/>
      <c r="U238" s="662"/>
      <c r="V238" s="665"/>
      <c r="W238" s="684">
        <f t="shared" ref="W238:AB238" si="229">+W239+W243</f>
        <v>104952000</v>
      </c>
      <c r="X238" s="684">
        <f t="shared" si="229"/>
        <v>104952000</v>
      </c>
      <c r="Y238" s="684">
        <f>+Y239+Y243</f>
        <v>26086500</v>
      </c>
      <c r="Z238" s="684">
        <f>+Z239+Z243</f>
        <v>30048000</v>
      </c>
      <c r="AA238" s="684">
        <f t="shared" si="229"/>
        <v>78865500</v>
      </c>
      <c r="AB238" s="684">
        <f t="shared" si="229"/>
        <v>30048000</v>
      </c>
      <c r="AG238" s="661"/>
    </row>
    <row r="239" spans="2:33" ht="15" customHeight="1" outlineLevel="1" x14ac:dyDescent="0.2">
      <c r="B239" s="520" t="s">
        <v>7</v>
      </c>
      <c r="C239" s="521" t="s">
        <v>27</v>
      </c>
      <c r="D239" s="521" t="s">
        <v>8</v>
      </c>
      <c r="E239" s="521" t="s">
        <v>20</v>
      </c>
      <c r="F239" s="521" t="s">
        <v>15</v>
      </c>
      <c r="G239" s="533" t="s">
        <v>9</v>
      </c>
      <c r="H239" s="521"/>
      <c r="I239" s="521"/>
      <c r="J239" s="521"/>
      <c r="K239" s="520"/>
      <c r="L239" s="648" t="s">
        <v>139</v>
      </c>
      <c r="M239" s="523"/>
      <c r="N239" s="523"/>
      <c r="O239" s="524"/>
      <c r="P239" s="524"/>
      <c r="Q239" s="626">
        <f>+Q240</f>
        <v>42000000</v>
      </c>
      <c r="R239" s="626">
        <f t="shared" ref="R239:S241" si="230">+R240</f>
        <v>0</v>
      </c>
      <c r="S239" s="626">
        <f t="shared" si="230"/>
        <v>0</v>
      </c>
      <c r="T239" s="525"/>
      <c r="U239" s="662"/>
      <c r="V239" s="665"/>
      <c r="W239" s="684">
        <f t="shared" ref="W239:AB241" si="231">+W240</f>
        <v>42000000</v>
      </c>
      <c r="X239" s="684">
        <f t="shared" si="231"/>
        <v>42000000</v>
      </c>
      <c r="Y239" s="684">
        <f t="shared" ref="Y239:Z241" si="232">+Y240</f>
        <v>26086500</v>
      </c>
      <c r="Z239" s="684">
        <f t="shared" si="232"/>
        <v>0</v>
      </c>
      <c r="AA239" s="684">
        <f t="shared" si="231"/>
        <v>15913500</v>
      </c>
      <c r="AB239" s="684">
        <f t="shared" si="231"/>
        <v>0</v>
      </c>
      <c r="AG239" s="661"/>
    </row>
    <row r="240" spans="2:33" s="466" customFormat="1" ht="30" customHeight="1" outlineLevel="1" x14ac:dyDescent="0.2">
      <c r="B240" s="534" t="s">
        <v>7</v>
      </c>
      <c r="C240" s="448" t="s">
        <v>27</v>
      </c>
      <c r="D240" s="448" t="s">
        <v>8</v>
      </c>
      <c r="E240" s="448" t="s">
        <v>20</v>
      </c>
      <c r="F240" s="448" t="s">
        <v>15</v>
      </c>
      <c r="G240" s="448" t="s">
        <v>9</v>
      </c>
      <c r="H240" s="448" t="s">
        <v>23</v>
      </c>
      <c r="I240" s="448"/>
      <c r="J240" s="535"/>
      <c r="K240" s="446"/>
      <c r="L240" s="643" t="s">
        <v>87</v>
      </c>
      <c r="M240" s="450"/>
      <c r="N240" s="450"/>
      <c r="O240" s="451"/>
      <c r="P240" s="451"/>
      <c r="Q240" s="621">
        <f>+Q241</f>
        <v>42000000</v>
      </c>
      <c r="R240" s="621">
        <f t="shared" si="230"/>
        <v>0</v>
      </c>
      <c r="S240" s="621">
        <f t="shared" si="230"/>
        <v>0</v>
      </c>
      <c r="T240" s="452"/>
      <c r="U240" s="662"/>
      <c r="V240" s="665"/>
      <c r="W240" s="684">
        <f t="shared" si="231"/>
        <v>42000000</v>
      </c>
      <c r="X240" s="684">
        <f t="shared" si="231"/>
        <v>42000000</v>
      </c>
      <c r="Y240" s="684">
        <f t="shared" si="232"/>
        <v>26086500</v>
      </c>
      <c r="Z240" s="684">
        <f t="shared" si="232"/>
        <v>0</v>
      </c>
      <c r="AA240" s="684">
        <f t="shared" si="231"/>
        <v>15913500</v>
      </c>
      <c r="AB240" s="684">
        <f t="shared" si="231"/>
        <v>0</v>
      </c>
      <c r="AG240" s="661"/>
    </row>
    <row r="241" spans="2:33" s="466" customFormat="1" ht="15" customHeight="1" outlineLevel="1" x14ac:dyDescent="0.2">
      <c r="B241" s="534" t="s">
        <v>7</v>
      </c>
      <c r="C241" s="448" t="s">
        <v>27</v>
      </c>
      <c r="D241" s="448" t="s">
        <v>8</v>
      </c>
      <c r="E241" s="448" t="s">
        <v>20</v>
      </c>
      <c r="F241" s="448" t="s">
        <v>15</v>
      </c>
      <c r="G241" s="448" t="s">
        <v>9</v>
      </c>
      <c r="H241" s="448" t="s">
        <v>23</v>
      </c>
      <c r="I241" s="448" t="s">
        <v>32</v>
      </c>
      <c r="J241" s="535"/>
      <c r="K241" s="446"/>
      <c r="L241" s="643" t="s">
        <v>413</v>
      </c>
      <c r="M241" s="450"/>
      <c r="N241" s="450"/>
      <c r="O241" s="451"/>
      <c r="P241" s="451"/>
      <c r="Q241" s="621">
        <f>+Q242</f>
        <v>42000000</v>
      </c>
      <c r="R241" s="621">
        <f t="shared" si="230"/>
        <v>0</v>
      </c>
      <c r="S241" s="621">
        <f t="shared" si="230"/>
        <v>0</v>
      </c>
      <c r="T241" s="452"/>
      <c r="U241" s="662"/>
      <c r="V241" s="665"/>
      <c r="W241" s="684">
        <f t="shared" si="231"/>
        <v>42000000</v>
      </c>
      <c r="X241" s="684">
        <f t="shared" si="231"/>
        <v>42000000</v>
      </c>
      <c r="Y241" s="684">
        <f t="shared" si="232"/>
        <v>26086500</v>
      </c>
      <c r="Z241" s="684">
        <f t="shared" si="232"/>
        <v>0</v>
      </c>
      <c r="AA241" s="684">
        <f t="shared" si="231"/>
        <v>15913500</v>
      </c>
      <c r="AB241" s="684">
        <f t="shared" si="231"/>
        <v>0</v>
      </c>
      <c r="AG241" s="661"/>
    </row>
    <row r="242" spans="2:33" s="466" customFormat="1" ht="30" outlineLevel="1" x14ac:dyDescent="0.2">
      <c r="B242" s="536"/>
      <c r="C242" s="537"/>
      <c r="D242" s="537"/>
      <c r="E242" s="537"/>
      <c r="F242" s="537"/>
      <c r="G242" s="537"/>
      <c r="H242" s="537"/>
      <c r="I242" s="537"/>
      <c r="J242" s="538"/>
      <c r="K242" s="463"/>
      <c r="L242" s="454" t="s">
        <v>414</v>
      </c>
      <c r="M242" s="455" t="s">
        <v>375</v>
      </c>
      <c r="N242" s="455" t="s">
        <v>375</v>
      </c>
      <c r="O242" s="455" t="s">
        <v>375</v>
      </c>
      <c r="P242" s="455" t="s">
        <v>375</v>
      </c>
      <c r="Q242" s="457">
        <v>42000000</v>
      </c>
      <c r="R242" s="458"/>
      <c r="S242" s="459"/>
      <c r="T242" s="460" t="s">
        <v>221</v>
      </c>
      <c r="U242" s="432">
        <v>322</v>
      </c>
      <c r="V242" s="433">
        <v>44566</v>
      </c>
      <c r="W242" s="419">
        <v>42000000</v>
      </c>
      <c r="X242" s="419">
        <v>42000000</v>
      </c>
      <c r="Y242" s="689">
        <f>+X242-AA242</f>
        <v>26086500</v>
      </c>
      <c r="Z242" s="689">
        <f>+Q242-X242</f>
        <v>0</v>
      </c>
      <c r="AA242" s="419">
        <v>15913500</v>
      </c>
      <c r="AB242" s="419">
        <f>(Q242-X242)</f>
        <v>0</v>
      </c>
      <c r="AG242" s="661"/>
    </row>
    <row r="243" spans="2:33" s="466" customFormat="1" outlineLevel="1" x14ac:dyDescent="0.2">
      <c r="B243" s="520" t="s">
        <v>7</v>
      </c>
      <c r="C243" s="521" t="s">
        <v>27</v>
      </c>
      <c r="D243" s="521" t="s">
        <v>8</v>
      </c>
      <c r="E243" s="521" t="s">
        <v>20</v>
      </c>
      <c r="F243" s="521" t="s">
        <v>15</v>
      </c>
      <c r="G243" s="521" t="s">
        <v>10</v>
      </c>
      <c r="H243" s="521"/>
      <c r="I243" s="521"/>
      <c r="J243" s="522"/>
      <c r="K243" s="520"/>
      <c r="L243" s="648" t="s">
        <v>388</v>
      </c>
      <c r="M243" s="523"/>
      <c r="N243" s="523"/>
      <c r="O243" s="524"/>
      <c r="P243" s="524"/>
      <c r="Q243" s="626">
        <f>+Q244</f>
        <v>93000000</v>
      </c>
      <c r="R243" s="626">
        <f t="shared" ref="R243:S245" si="233">+R244</f>
        <v>0</v>
      </c>
      <c r="S243" s="626">
        <f t="shared" si="233"/>
        <v>0</v>
      </c>
      <c r="T243" s="525"/>
      <c r="U243" s="662"/>
      <c r="V243" s="665"/>
      <c r="W243" s="684">
        <f t="shared" ref="W243:AB245" si="234">+W244</f>
        <v>62952000</v>
      </c>
      <c r="X243" s="684">
        <f t="shared" si="234"/>
        <v>62952000</v>
      </c>
      <c r="Y243" s="684">
        <f t="shared" ref="Y243:Z245" si="235">+Y244</f>
        <v>0</v>
      </c>
      <c r="Z243" s="684">
        <f t="shared" si="235"/>
        <v>30048000</v>
      </c>
      <c r="AA243" s="684">
        <f t="shared" si="234"/>
        <v>62952000</v>
      </c>
      <c r="AB243" s="684">
        <f t="shared" si="234"/>
        <v>30048000</v>
      </c>
      <c r="AG243" s="661"/>
    </row>
    <row r="244" spans="2:33" s="466" customFormat="1" outlineLevel="1" x14ac:dyDescent="0.2">
      <c r="B244" s="534" t="s">
        <v>7</v>
      </c>
      <c r="C244" s="448" t="s">
        <v>27</v>
      </c>
      <c r="D244" s="448" t="s">
        <v>8</v>
      </c>
      <c r="E244" s="448" t="s">
        <v>20</v>
      </c>
      <c r="F244" s="448" t="s">
        <v>15</v>
      </c>
      <c r="G244" s="448" t="s">
        <v>10</v>
      </c>
      <c r="H244" s="448" t="s">
        <v>8</v>
      </c>
      <c r="I244" s="447"/>
      <c r="J244" s="449"/>
      <c r="K244" s="446"/>
      <c r="L244" s="643" t="s">
        <v>389</v>
      </c>
      <c r="M244" s="450"/>
      <c r="N244" s="450"/>
      <c r="O244" s="451"/>
      <c r="P244" s="451"/>
      <c r="Q244" s="621">
        <f>+Q245</f>
        <v>93000000</v>
      </c>
      <c r="R244" s="621">
        <f t="shared" si="233"/>
        <v>0</v>
      </c>
      <c r="S244" s="621">
        <f t="shared" si="233"/>
        <v>0</v>
      </c>
      <c r="T244" s="467"/>
      <c r="U244" s="662"/>
      <c r="V244" s="665"/>
      <c r="W244" s="684">
        <f t="shared" si="234"/>
        <v>62952000</v>
      </c>
      <c r="X244" s="684">
        <f t="shared" si="234"/>
        <v>62952000</v>
      </c>
      <c r="Y244" s="684">
        <f t="shared" si="235"/>
        <v>0</v>
      </c>
      <c r="Z244" s="684">
        <f t="shared" si="235"/>
        <v>30048000</v>
      </c>
      <c r="AA244" s="684">
        <f t="shared" si="234"/>
        <v>62952000</v>
      </c>
      <c r="AB244" s="684">
        <f t="shared" si="234"/>
        <v>30048000</v>
      </c>
      <c r="AG244" s="661"/>
    </row>
    <row r="245" spans="2:33" s="466" customFormat="1" ht="30" customHeight="1" outlineLevel="1" x14ac:dyDescent="0.2">
      <c r="B245" s="534" t="s">
        <v>7</v>
      </c>
      <c r="C245" s="448" t="s">
        <v>27</v>
      </c>
      <c r="D245" s="448" t="s">
        <v>8</v>
      </c>
      <c r="E245" s="448" t="s">
        <v>20</v>
      </c>
      <c r="F245" s="448" t="s">
        <v>15</v>
      </c>
      <c r="G245" s="448" t="s">
        <v>10</v>
      </c>
      <c r="H245" s="447" t="s">
        <v>8</v>
      </c>
      <c r="I245" s="447" t="s">
        <v>21</v>
      </c>
      <c r="J245" s="449"/>
      <c r="K245" s="446"/>
      <c r="L245" s="643" t="s">
        <v>390</v>
      </c>
      <c r="M245" s="450"/>
      <c r="N245" s="450"/>
      <c r="O245" s="451"/>
      <c r="P245" s="451"/>
      <c r="Q245" s="621">
        <f>+Q246</f>
        <v>93000000</v>
      </c>
      <c r="R245" s="621">
        <f t="shared" si="233"/>
        <v>0</v>
      </c>
      <c r="S245" s="621">
        <f t="shared" si="233"/>
        <v>0</v>
      </c>
      <c r="T245" s="467"/>
      <c r="U245" s="662"/>
      <c r="V245" s="665"/>
      <c r="W245" s="684">
        <f t="shared" si="234"/>
        <v>62952000</v>
      </c>
      <c r="X245" s="684">
        <f t="shared" si="234"/>
        <v>62952000</v>
      </c>
      <c r="Y245" s="684">
        <f t="shared" si="235"/>
        <v>0</v>
      </c>
      <c r="Z245" s="684">
        <f t="shared" si="235"/>
        <v>30048000</v>
      </c>
      <c r="AA245" s="684">
        <f t="shared" si="234"/>
        <v>62952000</v>
      </c>
      <c r="AB245" s="684">
        <f t="shared" si="234"/>
        <v>30048000</v>
      </c>
      <c r="AG245" s="661"/>
    </row>
    <row r="246" spans="2:33" s="466" customFormat="1" outlineLevel="1" x14ac:dyDescent="0.2">
      <c r="B246" s="536"/>
      <c r="C246" s="537"/>
      <c r="D246" s="537"/>
      <c r="E246" s="537"/>
      <c r="F246" s="537"/>
      <c r="G246" s="537"/>
      <c r="H246" s="537"/>
      <c r="I246" s="537"/>
      <c r="J246" s="538"/>
      <c r="K246" s="463">
        <v>83112400</v>
      </c>
      <c r="L246" s="454" t="s">
        <v>391</v>
      </c>
      <c r="M246" s="455">
        <v>44198</v>
      </c>
      <c r="N246" s="455" t="s">
        <v>471</v>
      </c>
      <c r="O246" s="455" t="s">
        <v>301</v>
      </c>
      <c r="P246" s="455" t="s">
        <v>375</v>
      </c>
      <c r="Q246" s="468">
        <v>93000000</v>
      </c>
      <c r="R246" s="458"/>
      <c r="S246" s="459"/>
      <c r="T246" s="460" t="s">
        <v>271</v>
      </c>
      <c r="U246" s="432" t="s">
        <v>703</v>
      </c>
      <c r="V246" s="433"/>
      <c r="W246" s="419">
        <v>62952000</v>
      </c>
      <c r="X246" s="419">
        <v>62952000</v>
      </c>
      <c r="Y246" s="689">
        <f>+X246-AA246</f>
        <v>0</v>
      </c>
      <c r="Z246" s="689">
        <f>+Q246-X246</f>
        <v>30048000</v>
      </c>
      <c r="AA246" s="419">
        <v>62952000</v>
      </c>
      <c r="AB246" s="419">
        <f>(Q246-X246)</f>
        <v>30048000</v>
      </c>
      <c r="AG246" s="661"/>
    </row>
    <row r="247" spans="2:33" ht="15" customHeight="1" outlineLevel="1" x14ac:dyDescent="0.2">
      <c r="B247" s="434" t="s">
        <v>7</v>
      </c>
      <c r="C247" s="435" t="s">
        <v>27</v>
      </c>
      <c r="D247" s="435" t="s">
        <v>8</v>
      </c>
      <c r="E247" s="435" t="s">
        <v>20</v>
      </c>
      <c r="F247" s="435" t="s">
        <v>16</v>
      </c>
      <c r="G247" s="435"/>
      <c r="H247" s="435"/>
      <c r="I247" s="435"/>
      <c r="J247" s="436"/>
      <c r="K247" s="434"/>
      <c r="L247" s="641" t="s">
        <v>91</v>
      </c>
      <c r="M247" s="437"/>
      <c r="N247" s="437"/>
      <c r="O247" s="438"/>
      <c r="P247" s="438"/>
      <c r="Q247" s="619">
        <f>+Q248+Q254+Q264</f>
        <v>1968913190.0033331</v>
      </c>
      <c r="R247" s="619">
        <f t="shared" ref="R247:S247" si="236">+R248+R254+R264</f>
        <v>0</v>
      </c>
      <c r="S247" s="619">
        <f t="shared" si="236"/>
        <v>1042575000</v>
      </c>
      <c r="T247" s="439"/>
      <c r="U247" s="662"/>
      <c r="V247" s="665"/>
      <c r="W247" s="684">
        <f t="shared" ref="W247:AB247" si="237">+W248+W254+W264</f>
        <v>1170297900.04</v>
      </c>
      <c r="X247" s="684">
        <f t="shared" si="237"/>
        <v>1519398682.3699999</v>
      </c>
      <c r="Y247" s="684">
        <f>+Y248+Y254+Y264</f>
        <v>1019207617.76</v>
      </c>
      <c r="Z247" s="684">
        <f>+Z248+Z254+Z264</f>
        <v>420114507.63333303</v>
      </c>
      <c r="AA247" s="684">
        <f t="shared" si="237"/>
        <v>500191064.61000001</v>
      </c>
      <c r="AB247" s="684">
        <f t="shared" si="237"/>
        <v>420114507.63333303</v>
      </c>
      <c r="AG247" s="661"/>
    </row>
    <row r="248" spans="2:33" ht="15" customHeight="1" outlineLevel="1" x14ac:dyDescent="0.2">
      <c r="B248" s="520" t="s">
        <v>7</v>
      </c>
      <c r="C248" s="521" t="s">
        <v>27</v>
      </c>
      <c r="D248" s="521" t="s">
        <v>8</v>
      </c>
      <c r="E248" s="521" t="s">
        <v>20</v>
      </c>
      <c r="F248" s="521" t="s">
        <v>16</v>
      </c>
      <c r="G248" s="521" t="s">
        <v>11</v>
      </c>
      <c r="H248" s="521"/>
      <c r="I248" s="521"/>
      <c r="J248" s="522"/>
      <c r="K248" s="520"/>
      <c r="L248" s="648" t="s">
        <v>95</v>
      </c>
      <c r="M248" s="523"/>
      <c r="N248" s="523"/>
      <c r="O248" s="524"/>
      <c r="P248" s="524"/>
      <c r="Q248" s="626">
        <f>+Q249</f>
        <v>26900000</v>
      </c>
      <c r="R248" s="626">
        <f t="shared" ref="R248:S248" si="238">+R249</f>
        <v>0</v>
      </c>
      <c r="S248" s="626">
        <f t="shared" si="238"/>
        <v>0</v>
      </c>
      <c r="T248" s="525"/>
      <c r="U248" s="662"/>
      <c r="V248" s="665"/>
      <c r="W248" s="684">
        <f t="shared" ref="W248:AB248" si="239">+W249</f>
        <v>9000000</v>
      </c>
      <c r="X248" s="684">
        <f t="shared" si="239"/>
        <v>9000000</v>
      </c>
      <c r="Y248" s="684">
        <f>+Y249</f>
        <v>9000000</v>
      </c>
      <c r="Z248" s="684">
        <f>+Z249</f>
        <v>8000000</v>
      </c>
      <c r="AA248" s="684">
        <f t="shared" si="239"/>
        <v>0</v>
      </c>
      <c r="AB248" s="684">
        <f t="shared" si="239"/>
        <v>8000000</v>
      </c>
      <c r="AG248" s="661"/>
    </row>
    <row r="249" spans="2:33" ht="30" customHeight="1" outlineLevel="1" x14ac:dyDescent="0.2">
      <c r="B249" s="446" t="s">
        <v>7</v>
      </c>
      <c r="C249" s="447" t="s">
        <v>27</v>
      </c>
      <c r="D249" s="447" t="s">
        <v>8</v>
      </c>
      <c r="E249" s="447" t="s">
        <v>20</v>
      </c>
      <c r="F249" s="447" t="s">
        <v>16</v>
      </c>
      <c r="G249" s="447" t="s">
        <v>11</v>
      </c>
      <c r="H249" s="447" t="s">
        <v>8</v>
      </c>
      <c r="I249" s="447"/>
      <c r="J249" s="449"/>
      <c r="K249" s="446"/>
      <c r="L249" s="643" t="s">
        <v>122</v>
      </c>
      <c r="M249" s="450"/>
      <c r="N249" s="450"/>
      <c r="O249" s="451"/>
      <c r="P249" s="451"/>
      <c r="Q249" s="621">
        <f>SUM(Q250:Q250)</f>
        <v>26900000</v>
      </c>
      <c r="R249" s="621">
        <f t="shared" ref="R249:S249" si="240">SUM(R250:R250)</f>
        <v>0</v>
      </c>
      <c r="S249" s="621">
        <f t="shared" si="240"/>
        <v>0</v>
      </c>
      <c r="T249" s="467"/>
      <c r="U249" s="662"/>
      <c r="V249" s="665"/>
      <c r="W249" s="684">
        <f t="shared" ref="W249:AB249" si="241">SUM(W250:W250)</f>
        <v>9000000</v>
      </c>
      <c r="X249" s="684">
        <f t="shared" si="241"/>
        <v>9000000</v>
      </c>
      <c r="Y249" s="684">
        <f>SUM(Y250:Y250)</f>
        <v>9000000</v>
      </c>
      <c r="Z249" s="684">
        <f>SUM(Z250:Z250)</f>
        <v>8000000</v>
      </c>
      <c r="AA249" s="684">
        <f t="shared" si="241"/>
        <v>0</v>
      </c>
      <c r="AB249" s="684">
        <f t="shared" si="241"/>
        <v>8000000</v>
      </c>
      <c r="AG249" s="661"/>
    </row>
    <row r="250" spans="2:33" ht="57" customHeight="1" outlineLevel="1" x14ac:dyDescent="0.2">
      <c r="B250" s="446" t="s">
        <v>7</v>
      </c>
      <c r="C250" s="447" t="s">
        <v>27</v>
      </c>
      <c r="D250" s="447" t="s">
        <v>8</v>
      </c>
      <c r="E250" s="447" t="s">
        <v>20</v>
      </c>
      <c r="F250" s="447" t="s">
        <v>16</v>
      </c>
      <c r="G250" s="447" t="s">
        <v>11</v>
      </c>
      <c r="H250" s="447" t="s">
        <v>8</v>
      </c>
      <c r="I250" s="447" t="s">
        <v>21</v>
      </c>
      <c r="J250" s="449"/>
      <c r="K250" s="446"/>
      <c r="L250" s="643" t="s">
        <v>96</v>
      </c>
      <c r="M250" s="450"/>
      <c r="N250" s="450"/>
      <c r="O250" s="451"/>
      <c r="P250" s="451"/>
      <c r="Q250" s="621">
        <f>SUM(Q251:Q253)</f>
        <v>26900000</v>
      </c>
      <c r="R250" s="621">
        <f t="shared" ref="R250:S250" si="242">SUM(R251:R252)</f>
        <v>0</v>
      </c>
      <c r="S250" s="621">
        <f t="shared" si="242"/>
        <v>0</v>
      </c>
      <c r="T250" s="467"/>
      <c r="U250" s="662"/>
      <c r="V250" s="665"/>
      <c r="W250" s="684">
        <f t="shared" ref="W250:AB250" si="243">SUM(W251:W252)</f>
        <v>9000000</v>
      </c>
      <c r="X250" s="684">
        <f t="shared" si="243"/>
        <v>9000000</v>
      </c>
      <c r="Y250" s="684">
        <f>SUM(Y251:Y252)</f>
        <v>9000000</v>
      </c>
      <c r="Z250" s="684">
        <f>SUM(Z251:Z252)</f>
        <v>8000000</v>
      </c>
      <c r="AA250" s="684">
        <f t="shared" si="243"/>
        <v>0</v>
      </c>
      <c r="AB250" s="684">
        <f t="shared" si="243"/>
        <v>8000000</v>
      </c>
      <c r="AG250" s="661"/>
    </row>
    <row r="251" spans="2:33" ht="30" outlineLevel="1" x14ac:dyDescent="0.2">
      <c r="B251" s="758"/>
      <c r="C251" s="754"/>
      <c r="D251" s="754"/>
      <c r="E251" s="754"/>
      <c r="F251" s="754"/>
      <c r="G251" s="754"/>
      <c r="H251" s="754"/>
      <c r="I251" s="754"/>
      <c r="J251" s="754"/>
      <c r="K251" s="453" t="s">
        <v>653</v>
      </c>
      <c r="L251" s="454" t="s">
        <v>632</v>
      </c>
      <c r="M251" s="455" t="s">
        <v>550</v>
      </c>
      <c r="N251" s="455" t="s">
        <v>466</v>
      </c>
      <c r="O251" s="456" t="s">
        <v>548</v>
      </c>
      <c r="P251" s="456" t="s">
        <v>552</v>
      </c>
      <c r="Q251" s="468">
        <f>24000000-15000000</f>
        <v>9000000</v>
      </c>
      <c r="R251" s="458"/>
      <c r="S251" s="459"/>
      <c r="T251" s="460" t="s">
        <v>533</v>
      </c>
      <c r="U251" s="432">
        <v>41122</v>
      </c>
      <c r="V251" s="433">
        <v>44678</v>
      </c>
      <c r="W251" s="419">
        <v>9000000</v>
      </c>
      <c r="X251" s="419">
        <v>9000000</v>
      </c>
      <c r="Y251" s="689">
        <f>+X251-AA251</f>
        <v>9000000</v>
      </c>
      <c r="Z251" s="689">
        <f>+Q251-X251</f>
        <v>0</v>
      </c>
      <c r="AA251" s="419"/>
      <c r="AB251" s="419">
        <f>(Q251-X251)</f>
        <v>0</v>
      </c>
      <c r="AG251" s="661"/>
    </row>
    <row r="252" spans="2:33" ht="30" outlineLevel="1" x14ac:dyDescent="0.2">
      <c r="B252" s="461"/>
      <c r="C252" s="462"/>
      <c r="D252" s="462"/>
      <c r="E252" s="462"/>
      <c r="F252" s="462"/>
      <c r="G252" s="462"/>
      <c r="H252" s="462"/>
      <c r="I252" s="462"/>
      <c r="J252" s="462"/>
      <c r="K252" s="463">
        <v>80101500</v>
      </c>
      <c r="L252" s="454" t="s">
        <v>554</v>
      </c>
      <c r="M252" s="455">
        <v>44793</v>
      </c>
      <c r="N252" s="455" t="s">
        <v>584</v>
      </c>
      <c r="O252" s="456" t="s">
        <v>536</v>
      </c>
      <c r="P252" s="456" t="s">
        <v>587</v>
      </c>
      <c r="Q252" s="468">
        <v>8000000</v>
      </c>
      <c r="R252" s="458"/>
      <c r="S252" s="459"/>
      <c r="T252" s="460" t="s">
        <v>533</v>
      </c>
      <c r="U252" s="432"/>
      <c r="V252" s="433"/>
      <c r="W252" s="419"/>
      <c r="X252" s="419"/>
      <c r="Y252" s="689">
        <f>+X252-AA252</f>
        <v>0</v>
      </c>
      <c r="Z252" s="689">
        <f>+Q252-X252</f>
        <v>8000000</v>
      </c>
      <c r="AA252" s="419"/>
      <c r="AB252" s="419">
        <f>(Q252-X252)</f>
        <v>8000000</v>
      </c>
      <c r="AG252" s="661"/>
    </row>
    <row r="253" spans="2:33" ht="60" outlineLevel="1" x14ac:dyDescent="0.2">
      <c r="B253" s="702"/>
      <c r="C253" s="701"/>
      <c r="D253" s="701"/>
      <c r="E253" s="701"/>
      <c r="F253" s="701"/>
      <c r="G253" s="701"/>
      <c r="H253" s="701"/>
      <c r="I253" s="701"/>
      <c r="J253" s="701"/>
      <c r="K253" s="463">
        <v>80161500</v>
      </c>
      <c r="L253" s="454" t="s">
        <v>729</v>
      </c>
      <c r="M253" s="455">
        <v>44783</v>
      </c>
      <c r="N253" s="455" t="s">
        <v>584</v>
      </c>
      <c r="O253" s="456" t="s">
        <v>583</v>
      </c>
      <c r="P253" s="456" t="s">
        <v>587</v>
      </c>
      <c r="Q253" s="468">
        <v>9900000</v>
      </c>
      <c r="R253" s="458"/>
      <c r="S253" s="459"/>
      <c r="T253" s="460"/>
      <c r="U253" s="432"/>
      <c r="V253" s="433"/>
      <c r="W253" s="419"/>
      <c r="X253" s="419"/>
      <c r="Y253" s="689"/>
      <c r="Z253" s="689"/>
      <c r="AA253" s="419"/>
      <c r="AB253" s="419"/>
      <c r="AG253" s="661"/>
    </row>
    <row r="254" spans="2:33" ht="39" customHeight="1" outlineLevel="1" x14ac:dyDescent="0.2">
      <c r="B254" s="520" t="s">
        <v>7</v>
      </c>
      <c r="C254" s="521" t="s">
        <v>27</v>
      </c>
      <c r="D254" s="521" t="s">
        <v>8</v>
      </c>
      <c r="E254" s="521" t="s">
        <v>20</v>
      </c>
      <c r="F254" s="521" t="s">
        <v>16</v>
      </c>
      <c r="G254" s="521" t="s">
        <v>13</v>
      </c>
      <c r="H254" s="521"/>
      <c r="I254" s="521"/>
      <c r="J254" s="522"/>
      <c r="K254" s="520"/>
      <c r="L254" s="648" t="s">
        <v>104</v>
      </c>
      <c r="M254" s="523"/>
      <c r="N254" s="523"/>
      <c r="O254" s="524"/>
      <c r="P254" s="524"/>
      <c r="Q254" s="626">
        <f>Q255+Q259</f>
        <v>1674013190.0033331</v>
      </c>
      <c r="R254" s="626">
        <f t="shared" ref="R254:S254" si="244">R255+R259</f>
        <v>0</v>
      </c>
      <c r="S254" s="626">
        <f t="shared" si="244"/>
        <v>1042575000</v>
      </c>
      <c r="T254" s="525"/>
      <c r="U254" s="662"/>
      <c r="V254" s="665"/>
      <c r="W254" s="684">
        <f t="shared" ref="W254:AB254" si="245">W255+W259</f>
        <v>1000297900.04</v>
      </c>
      <c r="X254" s="684">
        <f t="shared" si="245"/>
        <v>1349398682.3699999</v>
      </c>
      <c r="Y254" s="684">
        <f>Y255+Y259</f>
        <v>849207617.75999999</v>
      </c>
      <c r="Z254" s="684">
        <f>Z255+Z259</f>
        <v>305114507.63333303</v>
      </c>
      <c r="AA254" s="684">
        <f t="shared" si="245"/>
        <v>500191064.61000001</v>
      </c>
      <c r="AB254" s="684">
        <f t="shared" si="245"/>
        <v>305114507.63333303</v>
      </c>
      <c r="AG254" s="661"/>
    </row>
    <row r="255" spans="2:33" ht="15" customHeight="1" outlineLevel="1" x14ac:dyDescent="0.2">
      <c r="B255" s="446" t="s">
        <v>7</v>
      </c>
      <c r="C255" s="447" t="s">
        <v>27</v>
      </c>
      <c r="D255" s="447" t="s">
        <v>8</v>
      </c>
      <c r="E255" s="447" t="s">
        <v>20</v>
      </c>
      <c r="F255" s="447" t="s">
        <v>16</v>
      </c>
      <c r="G255" s="447" t="s">
        <v>13</v>
      </c>
      <c r="H255" s="447" t="s">
        <v>20</v>
      </c>
      <c r="I255" s="447"/>
      <c r="J255" s="449"/>
      <c r="K255" s="446"/>
      <c r="L255" s="643" t="s">
        <v>458</v>
      </c>
      <c r="M255" s="450"/>
      <c r="N255" s="450"/>
      <c r="O255" s="451"/>
      <c r="P255" s="451"/>
      <c r="Q255" s="621">
        <f>SUM(Q256:Q258)</f>
        <v>232825817</v>
      </c>
      <c r="R255" s="621">
        <f>SUM(R256:R258)</f>
        <v>0</v>
      </c>
      <c r="S255" s="621">
        <f>SUM(S256:S258)</f>
        <v>140100000</v>
      </c>
      <c r="T255" s="467"/>
      <c r="U255" s="662"/>
      <c r="V255" s="665"/>
      <c r="W255" s="684">
        <f t="shared" ref="W255:AB255" si="246">SUM(W256:W257)</f>
        <v>86813733.370000005</v>
      </c>
      <c r="X255" s="684">
        <f t="shared" si="246"/>
        <v>134956360.37</v>
      </c>
      <c r="Y255" s="684">
        <f>SUM(Y256:Y257)</f>
        <v>17933</v>
      </c>
      <c r="Z255" s="684">
        <f>SUM(Z256:Z257)</f>
        <v>78369456.629999995</v>
      </c>
      <c r="AA255" s="684">
        <f t="shared" si="246"/>
        <v>134938427.37</v>
      </c>
      <c r="AB255" s="684">
        <f t="shared" si="246"/>
        <v>78369456.629999995</v>
      </c>
      <c r="AG255" s="661"/>
    </row>
    <row r="256" spans="2:33" ht="60" outlineLevel="1" x14ac:dyDescent="0.2">
      <c r="B256" s="758"/>
      <c r="C256" s="754"/>
      <c r="D256" s="754"/>
      <c r="E256" s="754"/>
      <c r="F256" s="754"/>
      <c r="G256" s="754"/>
      <c r="H256" s="754"/>
      <c r="I256" s="754"/>
      <c r="J256" s="754"/>
      <c r="K256" s="463">
        <v>92121500</v>
      </c>
      <c r="L256" s="454" t="s">
        <v>608</v>
      </c>
      <c r="M256" s="455" t="s">
        <v>649</v>
      </c>
      <c r="N256" s="455" t="s">
        <v>649</v>
      </c>
      <c r="O256" s="456" t="s">
        <v>649</v>
      </c>
      <c r="P256" s="456" t="s">
        <v>543</v>
      </c>
      <c r="Q256" s="688">
        <f>87183190+48142627</f>
        <v>135325817</v>
      </c>
      <c r="R256" s="531"/>
      <c r="S256" s="459"/>
      <c r="T256" s="460" t="s">
        <v>221</v>
      </c>
      <c r="U256" s="432">
        <v>2622</v>
      </c>
      <c r="V256" s="433">
        <v>44572</v>
      </c>
      <c r="W256" s="419">
        <v>86813733.370000005</v>
      </c>
      <c r="X256" s="419">
        <v>134956360.37</v>
      </c>
      <c r="Y256" s="689">
        <f>+X256-AA256</f>
        <v>17933</v>
      </c>
      <c r="Z256" s="689">
        <f>+Q256-X256</f>
        <v>369456.62999999523</v>
      </c>
      <c r="AA256" s="419">
        <v>134938427.37</v>
      </c>
      <c r="AB256" s="419">
        <f>(Q256-X256)</f>
        <v>369456.62999999523</v>
      </c>
      <c r="AG256" s="661"/>
    </row>
    <row r="257" spans="2:33" ht="60" outlineLevel="1" x14ac:dyDescent="0.2">
      <c r="B257" s="461"/>
      <c r="C257" s="462"/>
      <c r="D257" s="462"/>
      <c r="E257" s="462"/>
      <c r="F257" s="462"/>
      <c r="G257" s="462"/>
      <c r="H257" s="462"/>
      <c r="I257" s="462"/>
      <c r="J257" s="462"/>
      <c r="K257" s="99">
        <v>92121500</v>
      </c>
      <c r="L257" s="178" t="s">
        <v>705</v>
      </c>
      <c r="M257" s="455">
        <v>44679</v>
      </c>
      <c r="N257" s="455" t="s">
        <v>525</v>
      </c>
      <c r="O257" s="456" t="s">
        <v>301</v>
      </c>
      <c r="P257" s="456" t="s">
        <v>543</v>
      </c>
      <c r="Q257" s="688">
        <f>60357373+17642627</f>
        <v>78000000</v>
      </c>
      <c r="R257" s="531"/>
      <c r="S257" s="459"/>
      <c r="T257" s="460" t="s">
        <v>221</v>
      </c>
      <c r="U257" s="432"/>
      <c r="V257" s="433"/>
      <c r="W257" s="419"/>
      <c r="X257" s="419"/>
      <c r="Y257" s="689">
        <f>+X257-AA257</f>
        <v>0</v>
      </c>
      <c r="Z257" s="689">
        <f>+Q257-X257</f>
        <v>78000000</v>
      </c>
      <c r="AA257" s="419"/>
      <c r="AB257" s="419">
        <f>(Q257-X257)</f>
        <v>78000000</v>
      </c>
      <c r="AG257" s="661"/>
    </row>
    <row r="258" spans="2:33" ht="60" outlineLevel="1" x14ac:dyDescent="0.2">
      <c r="B258" s="681"/>
      <c r="C258" s="680"/>
      <c r="D258" s="680"/>
      <c r="E258" s="680"/>
      <c r="F258" s="680"/>
      <c r="G258" s="680"/>
      <c r="H258" s="680"/>
      <c r="I258" s="680"/>
      <c r="J258" s="680"/>
      <c r="K258" s="99">
        <v>92121500</v>
      </c>
      <c r="L258" s="178" t="s">
        <v>609</v>
      </c>
      <c r="M258" s="134">
        <v>44679</v>
      </c>
      <c r="N258" s="134" t="s">
        <v>525</v>
      </c>
      <c r="O258" s="157" t="s">
        <v>301</v>
      </c>
      <c r="P258" s="157" t="s">
        <v>317</v>
      </c>
      <c r="Q258" s="688">
        <f>128000000-48142627-60357373</f>
        <v>19500000</v>
      </c>
      <c r="R258" s="458" t="s">
        <v>322</v>
      </c>
      <c r="S258" s="457">
        <v>140100000</v>
      </c>
      <c r="T258" s="460"/>
      <c r="U258" s="432"/>
      <c r="V258" s="433"/>
      <c r="W258" s="419"/>
      <c r="X258" s="419"/>
      <c r="Y258" s="689">
        <f>+X258-AA258</f>
        <v>0</v>
      </c>
      <c r="Z258" s="689">
        <f>+Q258-X258</f>
        <v>19500000</v>
      </c>
      <c r="AA258" s="419"/>
      <c r="AB258" s="419">
        <f>(Q258-X258)</f>
        <v>19500000</v>
      </c>
      <c r="AG258" s="661"/>
    </row>
    <row r="259" spans="2:33" ht="58.5" customHeight="1" outlineLevel="1" x14ac:dyDescent="0.2">
      <c r="B259" s="446" t="s">
        <v>7</v>
      </c>
      <c r="C259" s="447" t="s">
        <v>27</v>
      </c>
      <c r="D259" s="447" t="s">
        <v>8</v>
      </c>
      <c r="E259" s="447" t="s">
        <v>20</v>
      </c>
      <c r="F259" s="447" t="s">
        <v>16</v>
      </c>
      <c r="G259" s="447" t="s">
        <v>13</v>
      </c>
      <c r="H259" s="447" t="s">
        <v>23</v>
      </c>
      <c r="I259" s="447"/>
      <c r="J259" s="449"/>
      <c r="K259" s="446"/>
      <c r="L259" s="643" t="s">
        <v>105</v>
      </c>
      <c r="M259" s="450"/>
      <c r="N259" s="450"/>
      <c r="O259" s="451"/>
      <c r="P259" s="451"/>
      <c r="Q259" s="621">
        <f>SUM(Q260:Q263)</f>
        <v>1441187373.0033331</v>
      </c>
      <c r="R259" s="621">
        <f t="shared" ref="R259:S259" si="247">SUM(R260:R263)</f>
        <v>0</v>
      </c>
      <c r="S259" s="621">
        <f t="shared" si="247"/>
        <v>902475000</v>
      </c>
      <c r="T259" s="467"/>
      <c r="U259" s="662"/>
      <c r="V259" s="665"/>
      <c r="W259" s="684">
        <f t="shared" ref="W259:AB259" si="248">SUM(W260:W263)</f>
        <v>913484166.66999996</v>
      </c>
      <c r="X259" s="684">
        <f t="shared" si="248"/>
        <v>1214442322</v>
      </c>
      <c r="Y259" s="684">
        <f>SUM(Y260:Y263)</f>
        <v>849189684.75999999</v>
      </c>
      <c r="Z259" s="684">
        <f>SUM(Z260:Z263)</f>
        <v>226745051.00333303</v>
      </c>
      <c r="AA259" s="684">
        <f t="shared" si="248"/>
        <v>365252637.24000001</v>
      </c>
      <c r="AB259" s="684">
        <f t="shared" si="248"/>
        <v>226745051.00333303</v>
      </c>
      <c r="AG259" s="661"/>
    </row>
    <row r="260" spans="2:33" ht="60" outlineLevel="1" x14ac:dyDescent="0.2">
      <c r="B260" s="758"/>
      <c r="C260" s="754"/>
      <c r="D260" s="754"/>
      <c r="E260" s="754"/>
      <c r="F260" s="754"/>
      <c r="G260" s="754"/>
      <c r="H260" s="754"/>
      <c r="I260" s="754"/>
      <c r="J260" s="754"/>
      <c r="K260" s="463">
        <v>72154000</v>
      </c>
      <c r="L260" s="454" t="s">
        <v>509</v>
      </c>
      <c r="M260" s="455">
        <v>44682</v>
      </c>
      <c r="N260" s="455" t="s">
        <v>651</v>
      </c>
      <c r="O260" s="456" t="s">
        <v>307</v>
      </c>
      <c r="P260" s="456" t="s">
        <v>543</v>
      </c>
      <c r="Q260" s="457">
        <f>130000000-80000000</f>
        <v>50000000</v>
      </c>
      <c r="R260" s="458"/>
      <c r="S260" s="459"/>
      <c r="T260" s="460" t="s">
        <v>221</v>
      </c>
      <c r="U260" s="432">
        <v>48122</v>
      </c>
      <c r="V260" s="433">
        <v>44701</v>
      </c>
      <c r="W260" s="419">
        <v>50000000</v>
      </c>
      <c r="X260" s="419">
        <v>50000000</v>
      </c>
      <c r="Y260" s="689">
        <f>+X260-AA260</f>
        <v>50000000</v>
      </c>
      <c r="Z260" s="689">
        <f>+Q260-X260</f>
        <v>0</v>
      </c>
      <c r="AA260" s="419"/>
      <c r="AB260" s="419">
        <f>(Q260-X260)</f>
        <v>0</v>
      </c>
      <c r="AG260" s="661"/>
    </row>
    <row r="261" spans="2:33" ht="60" outlineLevel="1" x14ac:dyDescent="0.2">
      <c r="B261" s="461"/>
      <c r="C261" s="462"/>
      <c r="D261" s="462"/>
      <c r="E261" s="462"/>
      <c r="F261" s="462"/>
      <c r="G261" s="462"/>
      <c r="H261" s="462"/>
      <c r="I261" s="462"/>
      <c r="J261" s="462"/>
      <c r="K261" s="463">
        <v>72102100</v>
      </c>
      <c r="L261" s="454" t="s">
        <v>610</v>
      </c>
      <c r="M261" s="455">
        <v>44682</v>
      </c>
      <c r="N261" s="455" t="s">
        <v>530</v>
      </c>
      <c r="O261" s="456" t="s">
        <v>307</v>
      </c>
      <c r="P261" s="456" t="s">
        <v>543</v>
      </c>
      <c r="Q261" s="457">
        <v>100000000</v>
      </c>
      <c r="R261" s="458"/>
      <c r="S261" s="459"/>
      <c r="T261" s="460" t="s">
        <v>221</v>
      </c>
      <c r="U261" s="432">
        <v>35722</v>
      </c>
      <c r="V261" s="433">
        <v>44656</v>
      </c>
      <c r="W261" s="419">
        <v>100000000</v>
      </c>
      <c r="X261" s="419">
        <v>100000000</v>
      </c>
      <c r="Y261" s="689">
        <f>+X261-AA261</f>
        <v>100000000</v>
      </c>
      <c r="Z261" s="689">
        <f>+Q261-X261</f>
        <v>0</v>
      </c>
      <c r="AA261" s="419"/>
      <c r="AB261" s="419">
        <f>(Q261-X261)</f>
        <v>0</v>
      </c>
      <c r="AF261" s="488"/>
      <c r="AG261" s="661"/>
    </row>
    <row r="262" spans="2:33" s="488" customFormat="1" ht="45" outlineLevel="1" x14ac:dyDescent="0.2">
      <c r="B262" s="461"/>
      <c r="C262" s="462"/>
      <c r="D262" s="462"/>
      <c r="E262" s="462"/>
      <c r="F262" s="462"/>
      <c r="G262" s="462"/>
      <c r="H262" s="462"/>
      <c r="I262" s="462"/>
      <c r="J262" s="462"/>
      <c r="K262" s="463">
        <v>76111500</v>
      </c>
      <c r="L262" s="454" t="s">
        <v>510</v>
      </c>
      <c r="M262" s="455">
        <v>44572</v>
      </c>
      <c r="N262" s="455" t="s">
        <v>471</v>
      </c>
      <c r="O262" s="456" t="s">
        <v>296</v>
      </c>
      <c r="P262" s="456" t="s">
        <v>639</v>
      </c>
      <c r="Q262" s="457">
        <f>763484166.67-17642627+318600782.33</f>
        <v>1064442322</v>
      </c>
      <c r="R262" s="458"/>
      <c r="S262" s="459"/>
      <c r="T262" s="460" t="s">
        <v>221</v>
      </c>
      <c r="U262" s="432">
        <v>222</v>
      </c>
      <c r="V262" s="433">
        <v>44566</v>
      </c>
      <c r="W262" s="419">
        <v>763484166.66999996</v>
      </c>
      <c r="X262" s="419">
        <v>1064442322</v>
      </c>
      <c r="Y262" s="689">
        <f>+X262-AA262</f>
        <v>699189684.75999999</v>
      </c>
      <c r="Z262" s="689">
        <f>+Q262-X262</f>
        <v>0</v>
      </c>
      <c r="AA262" s="419">
        <v>365252637.24000001</v>
      </c>
      <c r="AB262" s="419">
        <f>(Q262-X262)</f>
        <v>0</v>
      </c>
      <c r="AF262" s="393"/>
      <c r="AG262" s="661"/>
    </row>
    <row r="263" spans="2:33" ht="66.75" customHeight="1" outlineLevel="1" x14ac:dyDescent="0.2">
      <c r="B263" s="461"/>
      <c r="C263" s="462"/>
      <c r="D263" s="462"/>
      <c r="E263" s="462"/>
      <c r="F263" s="462"/>
      <c r="G263" s="462"/>
      <c r="H263" s="462"/>
      <c r="I263" s="462"/>
      <c r="J263" s="462"/>
      <c r="K263" s="463">
        <v>76111500</v>
      </c>
      <c r="L263" s="454" t="s">
        <v>652</v>
      </c>
      <c r="M263" s="455">
        <v>44743</v>
      </c>
      <c r="N263" s="455" t="s">
        <v>579</v>
      </c>
      <c r="O263" s="456" t="s">
        <v>301</v>
      </c>
      <c r="P263" s="456" t="s">
        <v>317</v>
      </c>
      <c r="Q263" s="457">
        <f>545345833.333333-318600782.33</f>
        <v>226745051.00333303</v>
      </c>
      <c r="R263" s="458" t="s">
        <v>322</v>
      </c>
      <c r="S263" s="457">
        <v>902475000</v>
      </c>
      <c r="T263" s="460" t="s">
        <v>221</v>
      </c>
      <c r="U263" s="432"/>
      <c r="V263" s="433"/>
      <c r="W263" s="419"/>
      <c r="X263" s="419"/>
      <c r="Y263" s="689">
        <f>+X263-AA263</f>
        <v>0</v>
      </c>
      <c r="Z263" s="689">
        <f>+Q263-X263</f>
        <v>226745051.00333303</v>
      </c>
      <c r="AA263" s="419"/>
      <c r="AB263" s="419">
        <f>(Q263-X263)</f>
        <v>226745051.00333303</v>
      </c>
      <c r="AG263" s="661"/>
    </row>
    <row r="264" spans="2:33" ht="30" customHeight="1" outlineLevel="1" x14ac:dyDescent="0.2">
      <c r="B264" s="520" t="s">
        <v>7</v>
      </c>
      <c r="C264" s="521" t="s">
        <v>27</v>
      </c>
      <c r="D264" s="521" t="s">
        <v>8</v>
      </c>
      <c r="E264" s="521" t="s">
        <v>20</v>
      </c>
      <c r="F264" s="521" t="s">
        <v>16</v>
      </c>
      <c r="G264" s="521" t="s">
        <v>15</v>
      </c>
      <c r="H264" s="521"/>
      <c r="I264" s="521"/>
      <c r="J264" s="522"/>
      <c r="K264" s="520"/>
      <c r="L264" s="648" t="s">
        <v>106</v>
      </c>
      <c r="M264" s="523"/>
      <c r="N264" s="523"/>
      <c r="O264" s="524"/>
      <c r="P264" s="524"/>
      <c r="Q264" s="626">
        <f>+Q265</f>
        <v>268000000</v>
      </c>
      <c r="R264" s="626">
        <f t="shared" ref="R264:S264" si="249">+R265</f>
        <v>0</v>
      </c>
      <c r="S264" s="626">
        <f t="shared" si="249"/>
        <v>0</v>
      </c>
      <c r="T264" s="525"/>
      <c r="U264" s="662"/>
      <c r="V264" s="665"/>
      <c r="W264" s="684">
        <f t="shared" ref="W264:AB264" si="250">+W265</f>
        <v>161000000</v>
      </c>
      <c r="X264" s="684">
        <f t="shared" si="250"/>
        <v>161000000</v>
      </c>
      <c r="Y264" s="684">
        <f>+Y265</f>
        <v>161000000</v>
      </c>
      <c r="Z264" s="684">
        <f>+Z265</f>
        <v>107000000</v>
      </c>
      <c r="AA264" s="684">
        <f t="shared" si="250"/>
        <v>0</v>
      </c>
      <c r="AB264" s="684">
        <f t="shared" si="250"/>
        <v>107000000</v>
      </c>
      <c r="AG264" s="661"/>
    </row>
    <row r="265" spans="2:33" ht="30" customHeight="1" outlineLevel="1" x14ac:dyDescent="0.2">
      <c r="B265" s="446" t="s">
        <v>7</v>
      </c>
      <c r="C265" s="447" t="s">
        <v>27</v>
      </c>
      <c r="D265" s="447" t="s">
        <v>8</v>
      </c>
      <c r="E265" s="447" t="s">
        <v>20</v>
      </c>
      <c r="F265" s="447" t="s">
        <v>16</v>
      </c>
      <c r="G265" s="447" t="s">
        <v>15</v>
      </c>
      <c r="H265" s="447" t="s">
        <v>8</v>
      </c>
      <c r="I265" s="447"/>
      <c r="J265" s="449"/>
      <c r="K265" s="446"/>
      <c r="L265" s="643" t="s">
        <v>107</v>
      </c>
      <c r="M265" s="450"/>
      <c r="N265" s="450"/>
      <c r="O265" s="451"/>
      <c r="P265" s="451"/>
      <c r="Q265" s="621">
        <f>SUM(Q266:Q266)</f>
        <v>268000000</v>
      </c>
      <c r="R265" s="621">
        <f t="shared" ref="R265:S265" si="251">SUM(R266:R266)</f>
        <v>0</v>
      </c>
      <c r="S265" s="621">
        <f t="shared" si="251"/>
        <v>0</v>
      </c>
      <c r="T265" s="467"/>
      <c r="U265" s="662"/>
      <c r="V265" s="665"/>
      <c r="W265" s="684">
        <f t="shared" ref="W265:AB265" si="252">SUM(W266:W266)</f>
        <v>161000000</v>
      </c>
      <c r="X265" s="684">
        <f t="shared" si="252"/>
        <v>161000000</v>
      </c>
      <c r="Y265" s="684">
        <f>SUM(Y266:Y266)</f>
        <v>161000000</v>
      </c>
      <c r="Z265" s="684">
        <f>SUM(Z266:Z266)</f>
        <v>107000000</v>
      </c>
      <c r="AA265" s="684">
        <f t="shared" si="252"/>
        <v>0</v>
      </c>
      <c r="AB265" s="684">
        <f t="shared" si="252"/>
        <v>107000000</v>
      </c>
      <c r="AG265" s="661"/>
    </row>
    <row r="266" spans="2:33" ht="30" customHeight="1" outlineLevel="1" x14ac:dyDescent="0.2">
      <c r="B266" s="446" t="s">
        <v>7</v>
      </c>
      <c r="C266" s="447" t="s">
        <v>27</v>
      </c>
      <c r="D266" s="447" t="s">
        <v>8</v>
      </c>
      <c r="E266" s="447" t="s">
        <v>20</v>
      </c>
      <c r="F266" s="447" t="s">
        <v>16</v>
      </c>
      <c r="G266" s="447" t="s">
        <v>15</v>
      </c>
      <c r="H266" s="447" t="s">
        <v>8</v>
      </c>
      <c r="I266" s="447" t="s">
        <v>34</v>
      </c>
      <c r="J266" s="449"/>
      <c r="K266" s="446"/>
      <c r="L266" s="643" t="s">
        <v>108</v>
      </c>
      <c r="M266" s="450"/>
      <c r="N266" s="450"/>
      <c r="O266" s="451"/>
      <c r="P266" s="451"/>
      <c r="Q266" s="621">
        <f>SUM(Q267:Q269)</f>
        <v>268000000</v>
      </c>
      <c r="R266" s="621">
        <f t="shared" ref="R266:S266" si="253">SUM(R267:R269)</f>
        <v>0</v>
      </c>
      <c r="S266" s="621">
        <f t="shared" si="253"/>
        <v>0</v>
      </c>
      <c r="T266" s="467"/>
      <c r="U266" s="662"/>
      <c r="V266" s="665"/>
      <c r="W266" s="684">
        <f t="shared" ref="W266:AB266" si="254">SUM(W267:W269)</f>
        <v>161000000</v>
      </c>
      <c r="X266" s="684">
        <f t="shared" si="254"/>
        <v>161000000</v>
      </c>
      <c r="Y266" s="684">
        <f>SUM(Y267:Y269)</f>
        <v>161000000</v>
      </c>
      <c r="Z266" s="684">
        <f>SUM(Z267:Z269)</f>
        <v>107000000</v>
      </c>
      <c r="AA266" s="684">
        <f t="shared" si="254"/>
        <v>0</v>
      </c>
      <c r="AB266" s="684">
        <f t="shared" si="254"/>
        <v>107000000</v>
      </c>
      <c r="AG266" s="661"/>
    </row>
    <row r="267" spans="2:33" ht="60" outlineLevel="1" x14ac:dyDescent="0.2">
      <c r="B267" s="761"/>
      <c r="C267" s="756"/>
      <c r="D267" s="756"/>
      <c r="E267" s="756"/>
      <c r="F267" s="756"/>
      <c r="G267" s="756"/>
      <c r="H267" s="756"/>
      <c r="I267" s="756"/>
      <c r="J267" s="756"/>
      <c r="K267" s="463">
        <v>73152100</v>
      </c>
      <c r="L267" s="454" t="s">
        <v>511</v>
      </c>
      <c r="M267" s="455">
        <v>44652</v>
      </c>
      <c r="N267" s="455" t="s">
        <v>525</v>
      </c>
      <c r="O267" s="456" t="s">
        <v>512</v>
      </c>
      <c r="P267" s="456" t="s">
        <v>543</v>
      </c>
      <c r="Q267" s="468">
        <v>46000000</v>
      </c>
      <c r="R267" s="458"/>
      <c r="S267" s="459"/>
      <c r="T267" s="460" t="s">
        <v>221</v>
      </c>
      <c r="U267" s="432">
        <v>29722</v>
      </c>
      <c r="V267" s="433">
        <v>44642</v>
      </c>
      <c r="W267" s="419">
        <v>46000000</v>
      </c>
      <c r="X267" s="419">
        <v>46000000</v>
      </c>
      <c r="Y267" s="689">
        <f>+X267-AA267</f>
        <v>46000000</v>
      </c>
      <c r="Z267" s="689">
        <f>+Q267-X267</f>
        <v>0</v>
      </c>
      <c r="AA267" s="419"/>
      <c r="AB267" s="419">
        <f>(Q267-X267)</f>
        <v>0</v>
      </c>
      <c r="AG267" s="661"/>
    </row>
    <row r="268" spans="2:33" ht="60" outlineLevel="1" x14ac:dyDescent="0.2">
      <c r="B268" s="479"/>
      <c r="C268" s="480"/>
      <c r="D268" s="480"/>
      <c r="E268" s="480"/>
      <c r="F268" s="480"/>
      <c r="G268" s="480"/>
      <c r="H268" s="480"/>
      <c r="I268" s="480"/>
      <c r="J268" s="480"/>
      <c r="K268" s="453">
        <v>81141804</v>
      </c>
      <c r="L268" s="454" t="s">
        <v>687</v>
      </c>
      <c r="M268" s="455">
        <v>44652</v>
      </c>
      <c r="N268" s="455" t="s">
        <v>525</v>
      </c>
      <c r="O268" s="456" t="s">
        <v>467</v>
      </c>
      <c r="P268" s="456" t="s">
        <v>688</v>
      </c>
      <c r="Q268" s="468">
        <v>15000000</v>
      </c>
      <c r="R268" s="458"/>
      <c r="S268" s="459"/>
      <c r="T268" s="460" t="s">
        <v>533</v>
      </c>
      <c r="U268" s="432">
        <v>21122</v>
      </c>
      <c r="V268" s="433">
        <v>44678</v>
      </c>
      <c r="W268" s="419">
        <v>15000000</v>
      </c>
      <c r="X268" s="419">
        <v>15000000</v>
      </c>
      <c r="Y268" s="689">
        <f>+X268-AA268</f>
        <v>15000000</v>
      </c>
      <c r="Z268" s="689">
        <f>+Q268-X268</f>
        <v>0</v>
      </c>
      <c r="AA268" s="419"/>
      <c r="AB268" s="419">
        <f>(Q268-X268)</f>
        <v>0</v>
      </c>
      <c r="AG268" s="661"/>
    </row>
    <row r="269" spans="2:33" ht="60" outlineLevel="1" x14ac:dyDescent="0.2">
      <c r="B269" s="479"/>
      <c r="C269" s="480"/>
      <c r="D269" s="480"/>
      <c r="E269" s="480"/>
      <c r="F269" s="480"/>
      <c r="G269" s="480"/>
      <c r="H269" s="480"/>
      <c r="I269" s="480"/>
      <c r="J269" s="480"/>
      <c r="K269" s="453" t="s">
        <v>555</v>
      </c>
      <c r="L269" s="454" t="s">
        <v>556</v>
      </c>
      <c r="M269" s="455">
        <v>44621</v>
      </c>
      <c r="N269" s="455" t="s">
        <v>466</v>
      </c>
      <c r="O269" s="456" t="s">
        <v>531</v>
      </c>
      <c r="P269" s="456" t="s">
        <v>543</v>
      </c>
      <c r="Q269" s="468">
        <f>60000000+147000000</f>
        <v>207000000</v>
      </c>
      <c r="R269" s="458" t="s">
        <v>386</v>
      </c>
      <c r="S269" s="459"/>
      <c r="T269" s="460" t="s">
        <v>533</v>
      </c>
      <c r="U269" s="432">
        <v>24022</v>
      </c>
      <c r="V269" s="433">
        <v>44623</v>
      </c>
      <c r="W269" s="419">
        <v>100000000</v>
      </c>
      <c r="X269" s="419">
        <v>100000000</v>
      </c>
      <c r="Y269" s="689">
        <f>+X269-AA269</f>
        <v>100000000</v>
      </c>
      <c r="Z269" s="689">
        <f>+Q269-X269</f>
        <v>107000000</v>
      </c>
      <c r="AA269" s="419"/>
      <c r="AB269" s="419">
        <f>(Q269-X269)</f>
        <v>107000000</v>
      </c>
      <c r="AG269" s="661"/>
    </row>
    <row r="270" spans="2:33" ht="15.75" customHeight="1" x14ac:dyDescent="0.2">
      <c r="B270" s="539" t="s">
        <v>7</v>
      </c>
      <c r="C270" s="540" t="s">
        <v>29</v>
      </c>
      <c r="D270" s="540"/>
      <c r="E270" s="540"/>
      <c r="F270" s="540"/>
      <c r="G270" s="540"/>
      <c r="H270" s="540"/>
      <c r="I270" s="540"/>
      <c r="J270" s="541"/>
      <c r="K270" s="539"/>
      <c r="L270" s="650" t="s">
        <v>123</v>
      </c>
      <c r="M270" s="542"/>
      <c r="N270" s="542"/>
      <c r="O270" s="543"/>
      <c r="P270" s="543"/>
      <c r="Q270" s="627">
        <f>+Q271+Q273</f>
        <v>5706000000</v>
      </c>
      <c r="R270" s="627">
        <f t="shared" ref="R270:S270" si="255">+R271+R273</f>
        <v>0</v>
      </c>
      <c r="S270" s="627">
        <f t="shared" si="255"/>
        <v>0</v>
      </c>
      <c r="T270" s="544"/>
      <c r="U270" s="666"/>
      <c r="V270" s="663"/>
      <c r="W270" s="683">
        <f t="shared" ref="W270:AB270" si="256">+W271+W273</f>
        <v>839272678.23000002</v>
      </c>
      <c r="X270" s="683">
        <f t="shared" si="256"/>
        <v>839272678.23000002</v>
      </c>
      <c r="Y270" s="683">
        <f>+Y271+Y273</f>
        <v>81402567</v>
      </c>
      <c r="Z270" s="683">
        <f>+Z271+Z273</f>
        <v>4866727321.7700005</v>
      </c>
      <c r="AA270" s="683">
        <f t="shared" si="256"/>
        <v>757870111.23000002</v>
      </c>
      <c r="AB270" s="683">
        <f t="shared" si="256"/>
        <v>4866727321.7700005</v>
      </c>
      <c r="AG270" s="661"/>
    </row>
    <row r="271" spans="2:33" ht="15.75" customHeight="1" outlineLevel="1" x14ac:dyDescent="0.2">
      <c r="B271" s="545" t="s">
        <v>7</v>
      </c>
      <c r="C271" s="546" t="s">
        <v>29</v>
      </c>
      <c r="D271" s="546" t="s">
        <v>8</v>
      </c>
      <c r="E271" s="546"/>
      <c r="F271" s="546"/>
      <c r="G271" s="546"/>
      <c r="H271" s="546"/>
      <c r="I271" s="546"/>
      <c r="J271" s="547"/>
      <c r="K271" s="545"/>
      <c r="L271" s="651" t="s">
        <v>124</v>
      </c>
      <c r="M271" s="548"/>
      <c r="N271" s="548"/>
      <c r="O271" s="549"/>
      <c r="P271" s="549"/>
      <c r="Q271" s="628">
        <f>SUM(Q272:Q272)</f>
        <v>106000000</v>
      </c>
      <c r="R271" s="628">
        <f t="shared" ref="R271:S271" si="257">SUM(R272:R272)</f>
        <v>0</v>
      </c>
      <c r="S271" s="628">
        <f t="shared" si="257"/>
        <v>0</v>
      </c>
      <c r="T271" s="550"/>
      <c r="U271" s="666"/>
      <c r="V271" s="663"/>
      <c r="W271" s="683">
        <f t="shared" ref="W271:AB271" si="258">SUM(W272:W272)</f>
        <v>106000000</v>
      </c>
      <c r="X271" s="683">
        <f t="shared" si="258"/>
        <v>106000000</v>
      </c>
      <c r="Y271" s="683">
        <f>SUM(Y272:Y272)</f>
        <v>81402567</v>
      </c>
      <c r="Z271" s="683">
        <f>SUM(Z272:Z272)</f>
        <v>0</v>
      </c>
      <c r="AA271" s="683">
        <f t="shared" si="258"/>
        <v>24597433</v>
      </c>
      <c r="AB271" s="683">
        <f t="shared" si="258"/>
        <v>0</v>
      </c>
      <c r="AG271" s="661"/>
    </row>
    <row r="272" spans="2:33" ht="15.75" outlineLevel="1" x14ac:dyDescent="0.2">
      <c r="B272" s="763"/>
      <c r="C272" s="764"/>
      <c r="D272" s="764"/>
      <c r="E272" s="764"/>
      <c r="F272" s="764"/>
      <c r="G272" s="764"/>
      <c r="H272" s="764"/>
      <c r="I272" s="764"/>
      <c r="J272" s="764"/>
      <c r="K272" s="551"/>
      <c r="L272" s="529" t="s">
        <v>124</v>
      </c>
      <c r="M272" s="456"/>
      <c r="N272" s="456"/>
      <c r="O272" s="456"/>
      <c r="P272" s="456"/>
      <c r="Q272" s="468">
        <v>106000000</v>
      </c>
      <c r="R272" s="458"/>
      <c r="S272" s="552"/>
      <c r="T272" s="553"/>
      <c r="U272" s="432">
        <v>9422</v>
      </c>
      <c r="V272" s="433">
        <v>44586</v>
      </c>
      <c r="W272" s="419">
        <v>106000000</v>
      </c>
      <c r="X272" s="419">
        <v>106000000</v>
      </c>
      <c r="Y272" s="689">
        <f>+X272-AA272</f>
        <v>81402567</v>
      </c>
      <c r="Z272" s="689">
        <f>+Q272-X272</f>
        <v>0</v>
      </c>
      <c r="AA272" s="419">
        <v>24597433</v>
      </c>
      <c r="AB272" s="419">
        <f>(Q272-X272)</f>
        <v>0</v>
      </c>
      <c r="AG272" s="661"/>
    </row>
    <row r="273" spans="2:33" ht="15.75" customHeight="1" outlineLevel="1" x14ac:dyDescent="0.2">
      <c r="B273" s="545" t="s">
        <v>7</v>
      </c>
      <c r="C273" s="546" t="s">
        <v>29</v>
      </c>
      <c r="D273" s="546" t="s">
        <v>23</v>
      </c>
      <c r="E273" s="546"/>
      <c r="F273" s="546"/>
      <c r="G273" s="546"/>
      <c r="H273" s="546"/>
      <c r="I273" s="546"/>
      <c r="J273" s="547"/>
      <c r="K273" s="545"/>
      <c r="L273" s="651" t="s">
        <v>125</v>
      </c>
      <c r="M273" s="548"/>
      <c r="N273" s="548"/>
      <c r="O273" s="549"/>
      <c r="P273" s="549"/>
      <c r="Q273" s="628">
        <f>SUM(Q274:Q274)</f>
        <v>5600000000</v>
      </c>
      <c r="R273" s="628">
        <f t="shared" ref="R273:S273" si="259">SUM(R274:R274)</f>
        <v>0</v>
      </c>
      <c r="S273" s="628">
        <f t="shared" si="259"/>
        <v>0</v>
      </c>
      <c r="T273" s="550"/>
      <c r="U273" s="666"/>
      <c r="V273" s="663"/>
      <c r="W273" s="683">
        <f t="shared" ref="W273:AB273" si="260">SUM(W274:W274)</f>
        <v>733272678.23000002</v>
      </c>
      <c r="X273" s="683">
        <f t="shared" si="260"/>
        <v>733272678.23000002</v>
      </c>
      <c r="Y273" s="683">
        <f>SUM(Y274:Y274)</f>
        <v>0</v>
      </c>
      <c r="Z273" s="683">
        <f>SUM(Z274:Z274)</f>
        <v>4866727321.7700005</v>
      </c>
      <c r="AA273" s="683">
        <f t="shared" si="260"/>
        <v>733272678.23000002</v>
      </c>
      <c r="AB273" s="683">
        <f t="shared" si="260"/>
        <v>4866727321.7700005</v>
      </c>
      <c r="AG273" s="661"/>
    </row>
    <row r="274" spans="2:33" ht="15.75" outlineLevel="1" x14ac:dyDescent="0.2">
      <c r="B274" s="763"/>
      <c r="C274" s="764"/>
      <c r="D274" s="764"/>
      <c r="E274" s="764"/>
      <c r="F274" s="764"/>
      <c r="G274" s="764"/>
      <c r="H274" s="764"/>
      <c r="I274" s="764"/>
      <c r="J274" s="764"/>
      <c r="K274" s="551"/>
      <c r="L274" s="529" t="s">
        <v>261</v>
      </c>
      <c r="M274" s="456" t="s">
        <v>375</v>
      </c>
      <c r="N274" s="456" t="s">
        <v>375</v>
      </c>
      <c r="O274" s="456" t="s">
        <v>375</v>
      </c>
      <c r="P274" s="456" t="s">
        <v>375</v>
      </c>
      <c r="Q274" s="468">
        <v>5600000000</v>
      </c>
      <c r="R274" s="458" t="s">
        <v>386</v>
      </c>
      <c r="S274" s="552"/>
      <c r="T274" s="553" t="s">
        <v>271</v>
      </c>
      <c r="U274" s="432"/>
      <c r="V274" s="432"/>
      <c r="W274" s="419">
        <v>733272678.23000002</v>
      </c>
      <c r="X274" s="419">
        <v>733272678.23000002</v>
      </c>
      <c r="Y274" s="689">
        <f>+X274-AA274</f>
        <v>0</v>
      </c>
      <c r="Z274" s="689">
        <f>+Q274-X274</f>
        <v>4866727321.7700005</v>
      </c>
      <c r="AA274" s="419">
        <v>733272678.23000002</v>
      </c>
      <c r="AB274" s="419">
        <f>(Q274-X274)</f>
        <v>4866727321.7700005</v>
      </c>
      <c r="AG274" s="661"/>
    </row>
    <row r="275" spans="2:33" ht="15.6" customHeight="1" x14ac:dyDescent="0.2">
      <c r="B275" s="554" t="s">
        <v>7</v>
      </c>
      <c r="C275" s="555" t="s">
        <v>30</v>
      </c>
      <c r="D275" s="555"/>
      <c r="E275" s="555"/>
      <c r="F275" s="555"/>
      <c r="G275" s="555"/>
      <c r="H275" s="555"/>
      <c r="I275" s="555"/>
      <c r="J275" s="556"/>
      <c r="K275" s="554"/>
      <c r="L275" s="652" t="s">
        <v>126</v>
      </c>
      <c r="M275" s="557"/>
      <c r="N275" s="557"/>
      <c r="O275" s="558"/>
      <c r="P275" s="558"/>
      <c r="Q275" s="629">
        <f>+Q276+Q284+Q287</f>
        <v>3750000000</v>
      </c>
      <c r="R275" s="629">
        <f t="shared" ref="R275:S275" si="261">+R276+R284+R287</f>
        <v>0</v>
      </c>
      <c r="S275" s="629">
        <f t="shared" si="261"/>
        <v>0</v>
      </c>
      <c r="T275" s="559"/>
      <c r="U275" s="666"/>
      <c r="V275" s="663"/>
      <c r="W275" s="683">
        <f t="shared" ref="W275:AB275" si="262">+W276+W284+W287</f>
        <v>3095248009</v>
      </c>
      <c r="X275" s="683">
        <f t="shared" si="262"/>
        <v>3095248009</v>
      </c>
      <c r="Y275" s="683">
        <f>+Y276+Y284+Y287</f>
        <v>0</v>
      </c>
      <c r="Z275" s="683">
        <f>+Z276+Z284+Z287</f>
        <v>654751991</v>
      </c>
      <c r="AA275" s="683">
        <f t="shared" si="262"/>
        <v>3095248009</v>
      </c>
      <c r="AB275" s="683">
        <f t="shared" si="262"/>
        <v>654751991</v>
      </c>
      <c r="AG275" s="661"/>
    </row>
    <row r="276" spans="2:33" ht="15.75" customHeight="1" outlineLevel="1" x14ac:dyDescent="0.2">
      <c r="B276" s="560" t="s">
        <v>7</v>
      </c>
      <c r="C276" s="561" t="s">
        <v>30</v>
      </c>
      <c r="D276" s="561" t="s">
        <v>8</v>
      </c>
      <c r="E276" s="561"/>
      <c r="F276" s="561"/>
      <c r="G276" s="561"/>
      <c r="H276" s="561"/>
      <c r="I276" s="561"/>
      <c r="J276" s="562"/>
      <c r="K276" s="560"/>
      <c r="L276" s="653" t="s">
        <v>127</v>
      </c>
      <c r="M276" s="563"/>
      <c r="N276" s="563"/>
      <c r="O276" s="564"/>
      <c r="P276" s="564"/>
      <c r="Q276" s="630">
        <f>+Q277</f>
        <v>3363000000</v>
      </c>
      <c r="R276" s="630">
        <f t="shared" ref="R276:S276" si="263">+R277</f>
        <v>0</v>
      </c>
      <c r="S276" s="630">
        <f t="shared" si="263"/>
        <v>0</v>
      </c>
      <c r="T276" s="565"/>
      <c r="U276" s="666"/>
      <c r="V276" s="663"/>
      <c r="W276" s="683">
        <f t="shared" ref="W276:AB276" si="264">+W277</f>
        <v>3095248009</v>
      </c>
      <c r="X276" s="683">
        <f t="shared" si="264"/>
        <v>3095248009</v>
      </c>
      <c r="Y276" s="683">
        <f>+Y277</f>
        <v>0</v>
      </c>
      <c r="Z276" s="683">
        <f>+Z277</f>
        <v>267751991</v>
      </c>
      <c r="AA276" s="683">
        <f t="shared" si="264"/>
        <v>3095248009</v>
      </c>
      <c r="AB276" s="683">
        <f t="shared" si="264"/>
        <v>267751991</v>
      </c>
      <c r="AG276" s="661"/>
    </row>
    <row r="277" spans="2:33" ht="15" customHeight="1" outlineLevel="1" x14ac:dyDescent="0.2">
      <c r="B277" s="566" t="s">
        <v>7</v>
      </c>
      <c r="C277" s="567" t="s">
        <v>30</v>
      </c>
      <c r="D277" s="567" t="s">
        <v>8</v>
      </c>
      <c r="E277" s="567" t="s">
        <v>20</v>
      </c>
      <c r="F277" s="567"/>
      <c r="G277" s="567"/>
      <c r="H277" s="567"/>
      <c r="I277" s="567"/>
      <c r="J277" s="568"/>
      <c r="K277" s="566"/>
      <c r="L277" s="654" t="s">
        <v>128</v>
      </c>
      <c r="M277" s="569"/>
      <c r="N277" s="569"/>
      <c r="O277" s="570"/>
      <c r="P277" s="570"/>
      <c r="Q277" s="631">
        <f>+Q278+Q280+Q282</f>
        <v>3363000000</v>
      </c>
      <c r="R277" s="631">
        <f t="shared" ref="R277:S277" si="265">+R278+R280+R282</f>
        <v>0</v>
      </c>
      <c r="S277" s="631">
        <f t="shared" si="265"/>
        <v>0</v>
      </c>
      <c r="T277" s="572"/>
      <c r="U277" s="662"/>
      <c r="V277" s="665"/>
      <c r="W277" s="684">
        <f t="shared" ref="W277:AB277" si="266">+W278+W280+W282</f>
        <v>3095248009</v>
      </c>
      <c r="X277" s="684">
        <f t="shared" si="266"/>
        <v>3095248009</v>
      </c>
      <c r="Y277" s="684">
        <f>+Y278+Y280+Y282</f>
        <v>0</v>
      </c>
      <c r="Z277" s="684">
        <f>+Z278+Z280+Z282</f>
        <v>267751991</v>
      </c>
      <c r="AA277" s="684">
        <f t="shared" si="266"/>
        <v>3095248009</v>
      </c>
      <c r="AB277" s="684">
        <f t="shared" si="266"/>
        <v>267751991</v>
      </c>
      <c r="AG277" s="661"/>
    </row>
    <row r="278" spans="2:33" ht="15" customHeight="1" outlineLevel="1" x14ac:dyDescent="0.2">
      <c r="B278" s="434" t="s">
        <v>7</v>
      </c>
      <c r="C278" s="435" t="s">
        <v>30</v>
      </c>
      <c r="D278" s="435" t="s">
        <v>8</v>
      </c>
      <c r="E278" s="435" t="s">
        <v>20</v>
      </c>
      <c r="F278" s="435" t="s">
        <v>9</v>
      </c>
      <c r="G278" s="435"/>
      <c r="H278" s="435"/>
      <c r="I278" s="435"/>
      <c r="J278" s="436"/>
      <c r="K278" s="434"/>
      <c r="L278" s="641" t="s">
        <v>129</v>
      </c>
      <c r="M278" s="437"/>
      <c r="N278" s="437"/>
      <c r="O278" s="438"/>
      <c r="P278" s="438"/>
      <c r="Q278" s="619">
        <f>SUM(Q279:Q279)</f>
        <v>3285000000</v>
      </c>
      <c r="R278" s="619">
        <f t="shared" ref="R278:S278" si="267">SUM(R279:R279)</f>
        <v>0</v>
      </c>
      <c r="S278" s="619">
        <f t="shared" si="267"/>
        <v>0</v>
      </c>
      <c r="T278" s="439"/>
      <c r="U278" s="662"/>
      <c r="V278" s="665"/>
      <c r="W278" s="684">
        <f t="shared" ref="W278:AB278" si="268">SUM(W279:W279)</f>
        <v>3061337141</v>
      </c>
      <c r="X278" s="684">
        <f t="shared" si="268"/>
        <v>3061337141</v>
      </c>
      <c r="Y278" s="684">
        <f>SUM(Y279:Y279)</f>
        <v>0</v>
      </c>
      <c r="Z278" s="684">
        <f>SUM(Z279:Z279)</f>
        <v>223662859</v>
      </c>
      <c r="AA278" s="684">
        <f t="shared" si="268"/>
        <v>3061337141</v>
      </c>
      <c r="AB278" s="684">
        <f t="shared" si="268"/>
        <v>223662859</v>
      </c>
      <c r="AG278" s="661"/>
    </row>
    <row r="279" spans="2:33" outlineLevel="1" x14ac:dyDescent="0.2">
      <c r="B279" s="758"/>
      <c r="C279" s="754"/>
      <c r="D279" s="754"/>
      <c r="E279" s="754"/>
      <c r="F279" s="754"/>
      <c r="G279" s="754"/>
      <c r="H279" s="754"/>
      <c r="I279" s="754"/>
      <c r="J279" s="754"/>
      <c r="K279" s="551"/>
      <c r="L279" s="529" t="s">
        <v>557</v>
      </c>
      <c r="M279" s="456"/>
      <c r="N279" s="456"/>
      <c r="O279" s="456"/>
      <c r="P279" s="456"/>
      <c r="Q279" s="468">
        <v>3285000000</v>
      </c>
      <c r="R279" s="458" t="s">
        <v>350</v>
      </c>
      <c r="S279" s="573"/>
      <c r="T279" s="553" t="s">
        <v>268</v>
      </c>
      <c r="U279" s="432" t="s">
        <v>702</v>
      </c>
      <c r="V279" s="433"/>
      <c r="W279" s="419">
        <v>3061337141</v>
      </c>
      <c r="X279" s="419">
        <v>3061337141</v>
      </c>
      <c r="Y279" s="689">
        <f>+X279-AA279</f>
        <v>0</v>
      </c>
      <c r="Z279" s="689">
        <f>+Q279-X279</f>
        <v>223662859</v>
      </c>
      <c r="AA279" s="419">
        <v>3061337141</v>
      </c>
      <c r="AB279" s="419">
        <f>(Q279-X279)</f>
        <v>223662859</v>
      </c>
      <c r="AG279" s="661"/>
    </row>
    <row r="280" spans="2:33" ht="15" customHeight="1" outlineLevel="1" x14ac:dyDescent="0.2">
      <c r="B280" s="434" t="s">
        <v>7</v>
      </c>
      <c r="C280" s="435" t="s">
        <v>30</v>
      </c>
      <c r="D280" s="435" t="s">
        <v>8</v>
      </c>
      <c r="E280" s="435" t="s">
        <v>20</v>
      </c>
      <c r="F280" s="435" t="s">
        <v>11</v>
      </c>
      <c r="G280" s="435"/>
      <c r="H280" s="435"/>
      <c r="I280" s="435"/>
      <c r="J280" s="436"/>
      <c r="K280" s="434"/>
      <c r="L280" s="641" t="s">
        <v>130</v>
      </c>
      <c r="M280" s="437"/>
      <c r="N280" s="437"/>
      <c r="O280" s="438"/>
      <c r="P280" s="438"/>
      <c r="Q280" s="619">
        <f>SUM(Q281:Q281)</f>
        <v>75000000</v>
      </c>
      <c r="R280" s="619">
        <f t="shared" ref="R280:S280" si="269">SUM(R281:R281)</f>
        <v>0</v>
      </c>
      <c r="S280" s="619">
        <f t="shared" si="269"/>
        <v>0</v>
      </c>
      <c r="T280" s="439"/>
      <c r="U280" s="662"/>
      <c r="V280" s="665"/>
      <c r="W280" s="684">
        <f t="shared" ref="W280:AB280" si="270">SUM(W281:W281)</f>
        <v>33910868</v>
      </c>
      <c r="X280" s="684">
        <f t="shared" si="270"/>
        <v>33910868</v>
      </c>
      <c r="Y280" s="684">
        <f>SUM(Y281:Y281)</f>
        <v>0</v>
      </c>
      <c r="Z280" s="684">
        <f>SUM(Z281:Z281)</f>
        <v>41089132</v>
      </c>
      <c r="AA280" s="684">
        <f t="shared" si="270"/>
        <v>33910868</v>
      </c>
      <c r="AB280" s="684">
        <f t="shared" si="270"/>
        <v>41089132</v>
      </c>
      <c r="AG280" s="661"/>
    </row>
    <row r="281" spans="2:33" outlineLevel="1" x14ac:dyDescent="0.2">
      <c r="B281" s="758"/>
      <c r="C281" s="754"/>
      <c r="D281" s="754"/>
      <c r="E281" s="754"/>
      <c r="F281" s="754"/>
      <c r="G281" s="754"/>
      <c r="H281" s="754"/>
      <c r="I281" s="754"/>
      <c r="J281" s="754"/>
      <c r="K281" s="463"/>
      <c r="L281" s="454" t="s">
        <v>130</v>
      </c>
      <c r="M281" s="456"/>
      <c r="N281" s="456"/>
      <c r="O281" s="456"/>
      <c r="P281" s="456"/>
      <c r="Q281" s="468">
        <v>75000000</v>
      </c>
      <c r="R281" s="458"/>
      <c r="S281" s="459"/>
      <c r="T281" s="460"/>
      <c r="U281" s="432" t="s">
        <v>701</v>
      </c>
      <c r="V281" s="433"/>
      <c r="W281" s="419">
        <v>33910868</v>
      </c>
      <c r="X281" s="419">
        <v>33910868</v>
      </c>
      <c r="Y281" s="689">
        <f>+X281-AA281</f>
        <v>0</v>
      </c>
      <c r="Z281" s="689">
        <f>+Q281-X281</f>
        <v>41089132</v>
      </c>
      <c r="AA281" s="419">
        <v>33910868</v>
      </c>
      <c r="AB281" s="419">
        <f>(Q281-X281)</f>
        <v>41089132</v>
      </c>
      <c r="AG281" s="661"/>
    </row>
    <row r="282" spans="2:33" ht="15" customHeight="1" outlineLevel="1" x14ac:dyDescent="0.2">
      <c r="B282" s="434" t="s">
        <v>7</v>
      </c>
      <c r="C282" s="435" t="s">
        <v>30</v>
      </c>
      <c r="D282" s="435" t="s">
        <v>8</v>
      </c>
      <c r="E282" s="435" t="s">
        <v>20</v>
      </c>
      <c r="F282" s="435" t="s">
        <v>14</v>
      </c>
      <c r="G282" s="435"/>
      <c r="H282" s="435"/>
      <c r="I282" s="435"/>
      <c r="J282" s="436"/>
      <c r="K282" s="434"/>
      <c r="L282" s="641" t="s">
        <v>131</v>
      </c>
      <c r="M282" s="437"/>
      <c r="N282" s="437"/>
      <c r="O282" s="438"/>
      <c r="P282" s="438"/>
      <c r="Q282" s="619">
        <f>SUM(Q283:Q283)</f>
        <v>3000000</v>
      </c>
      <c r="R282" s="619">
        <f t="shared" ref="R282:S282" si="271">SUM(R283:R283)</f>
        <v>0</v>
      </c>
      <c r="S282" s="619">
        <f t="shared" si="271"/>
        <v>0</v>
      </c>
      <c r="T282" s="439"/>
      <c r="U282" s="662"/>
      <c r="V282" s="665"/>
      <c r="W282" s="684">
        <f t="shared" ref="W282:AB282" si="272">SUM(W283:W283)</f>
        <v>0</v>
      </c>
      <c r="X282" s="684">
        <f t="shared" si="272"/>
        <v>0</v>
      </c>
      <c r="Y282" s="684">
        <f>SUM(Y283:Y283)</f>
        <v>0</v>
      </c>
      <c r="Z282" s="684">
        <f>SUM(Z283:Z283)</f>
        <v>3000000</v>
      </c>
      <c r="AA282" s="684">
        <f t="shared" si="272"/>
        <v>0</v>
      </c>
      <c r="AB282" s="684">
        <f t="shared" si="272"/>
        <v>3000000</v>
      </c>
      <c r="AG282" s="661"/>
    </row>
    <row r="283" spans="2:33" ht="15" customHeight="1" outlineLevel="1" x14ac:dyDescent="0.2">
      <c r="B283" s="758"/>
      <c r="C283" s="754"/>
      <c r="D283" s="754"/>
      <c r="E283" s="754"/>
      <c r="F283" s="754"/>
      <c r="G283" s="754"/>
      <c r="H283" s="754"/>
      <c r="I283" s="754"/>
      <c r="J283" s="754"/>
      <c r="K283" s="463"/>
      <c r="L283" s="454" t="s">
        <v>577</v>
      </c>
      <c r="M283" s="456" t="s">
        <v>375</v>
      </c>
      <c r="N283" s="456" t="s">
        <v>375</v>
      </c>
      <c r="O283" s="456" t="s">
        <v>375</v>
      </c>
      <c r="P283" s="456" t="s">
        <v>375</v>
      </c>
      <c r="Q283" s="468">
        <v>3000000</v>
      </c>
      <c r="R283" s="458"/>
      <c r="S283" s="459"/>
      <c r="T283" s="460" t="s">
        <v>574</v>
      </c>
      <c r="U283" s="432"/>
      <c r="V283" s="433"/>
      <c r="W283" s="419"/>
      <c r="X283" s="419"/>
      <c r="Y283" s="689">
        <f>+X283-AA283</f>
        <v>0</v>
      </c>
      <c r="Z283" s="689">
        <f>+Q283-X283</f>
        <v>3000000</v>
      </c>
      <c r="AA283" s="419"/>
      <c r="AB283" s="419">
        <f>(Q283-X283)</f>
        <v>3000000</v>
      </c>
      <c r="AG283" s="661"/>
    </row>
    <row r="284" spans="2:33" ht="15.75" customHeight="1" outlineLevel="1" x14ac:dyDescent="0.2">
      <c r="B284" s="560" t="s">
        <v>7</v>
      </c>
      <c r="C284" s="561" t="s">
        <v>30</v>
      </c>
      <c r="D284" s="561" t="s">
        <v>24</v>
      </c>
      <c r="E284" s="561"/>
      <c r="F284" s="561"/>
      <c r="G284" s="561"/>
      <c r="H284" s="561"/>
      <c r="I284" s="561"/>
      <c r="J284" s="562"/>
      <c r="K284" s="560"/>
      <c r="L284" s="653" t="s">
        <v>132</v>
      </c>
      <c r="M284" s="563"/>
      <c r="N284" s="563"/>
      <c r="O284" s="564"/>
      <c r="P284" s="564"/>
      <c r="Q284" s="630">
        <f>+Q285+Q286</f>
        <v>340000000</v>
      </c>
      <c r="R284" s="630">
        <f t="shared" ref="R284:S284" si="273">+R285+R286</f>
        <v>0</v>
      </c>
      <c r="S284" s="630">
        <f t="shared" si="273"/>
        <v>0</v>
      </c>
      <c r="T284" s="565"/>
      <c r="U284" s="666"/>
      <c r="V284" s="663"/>
      <c r="W284" s="683">
        <f t="shared" ref="W284:AB284" si="274">+W285+W286</f>
        <v>0</v>
      </c>
      <c r="X284" s="683">
        <f t="shared" si="274"/>
        <v>0</v>
      </c>
      <c r="Y284" s="683">
        <f>+Y285+Y286</f>
        <v>0</v>
      </c>
      <c r="Z284" s="683">
        <f>+Z285+Z286</f>
        <v>340000000</v>
      </c>
      <c r="AA284" s="683">
        <f t="shared" si="274"/>
        <v>0</v>
      </c>
      <c r="AB284" s="683">
        <f t="shared" si="274"/>
        <v>340000000</v>
      </c>
      <c r="AG284" s="661"/>
    </row>
    <row r="285" spans="2:33" ht="15" customHeight="1" outlineLevel="1" x14ac:dyDescent="0.2">
      <c r="B285" s="566" t="s">
        <v>7</v>
      </c>
      <c r="C285" s="567" t="s">
        <v>30</v>
      </c>
      <c r="D285" s="567" t="s">
        <v>24</v>
      </c>
      <c r="E285" s="567" t="s">
        <v>8</v>
      </c>
      <c r="F285" s="567"/>
      <c r="G285" s="567"/>
      <c r="H285" s="567"/>
      <c r="I285" s="567"/>
      <c r="J285" s="568"/>
      <c r="K285" s="566"/>
      <c r="L285" s="654" t="s">
        <v>133</v>
      </c>
      <c r="M285" s="569"/>
      <c r="N285" s="569"/>
      <c r="O285" s="570"/>
      <c r="P285" s="570"/>
      <c r="Q285" s="571">
        <v>121000000</v>
      </c>
      <c r="R285" s="567"/>
      <c r="S285" s="574"/>
      <c r="T285" s="572"/>
      <c r="U285" s="432"/>
      <c r="V285" s="433"/>
      <c r="W285" s="419"/>
      <c r="X285" s="419"/>
      <c r="Y285" s="689">
        <f>+X285-AA285</f>
        <v>0</v>
      </c>
      <c r="Z285" s="689">
        <f>+Q285-X285</f>
        <v>121000000</v>
      </c>
      <c r="AA285" s="419"/>
      <c r="AB285" s="419">
        <f>(Q285-X285)</f>
        <v>121000000</v>
      </c>
      <c r="AG285" s="661"/>
    </row>
    <row r="286" spans="2:33" ht="15" customHeight="1" outlineLevel="1" x14ac:dyDescent="0.2">
      <c r="B286" s="566" t="s">
        <v>7</v>
      </c>
      <c r="C286" s="567" t="s">
        <v>30</v>
      </c>
      <c r="D286" s="567" t="s">
        <v>24</v>
      </c>
      <c r="E286" s="567" t="s">
        <v>24</v>
      </c>
      <c r="F286" s="567"/>
      <c r="G286" s="567"/>
      <c r="H286" s="567"/>
      <c r="I286" s="567"/>
      <c r="J286" s="568"/>
      <c r="K286" s="566"/>
      <c r="L286" s="654" t="s">
        <v>393</v>
      </c>
      <c r="M286" s="569"/>
      <c r="N286" s="569"/>
      <c r="O286" s="570"/>
      <c r="P286" s="570"/>
      <c r="Q286" s="571">
        <v>219000000</v>
      </c>
      <c r="R286" s="567"/>
      <c r="S286" s="574"/>
      <c r="T286" s="572"/>
      <c r="U286" s="432"/>
      <c r="V286" s="433"/>
      <c r="W286" s="419"/>
      <c r="X286" s="419"/>
      <c r="Y286" s="689">
        <f>+X286-AA286</f>
        <v>0</v>
      </c>
      <c r="Z286" s="689">
        <f>+Q286-X286</f>
        <v>219000000</v>
      </c>
      <c r="AA286" s="419"/>
      <c r="AB286" s="419">
        <f>(Q286-X286)</f>
        <v>219000000</v>
      </c>
      <c r="AG286" s="661"/>
    </row>
    <row r="287" spans="2:33" ht="15.75" customHeight="1" outlineLevel="1" x14ac:dyDescent="0.2">
      <c r="B287" s="560" t="s">
        <v>7</v>
      </c>
      <c r="C287" s="561" t="s">
        <v>30</v>
      </c>
      <c r="D287" s="575" t="s">
        <v>27</v>
      </c>
      <c r="E287" s="561"/>
      <c r="F287" s="561"/>
      <c r="G287" s="561"/>
      <c r="H287" s="561"/>
      <c r="I287" s="561"/>
      <c r="J287" s="562"/>
      <c r="K287" s="560"/>
      <c r="L287" s="653" t="s">
        <v>633</v>
      </c>
      <c r="M287" s="563"/>
      <c r="N287" s="563"/>
      <c r="O287" s="564"/>
      <c r="P287" s="564"/>
      <c r="Q287" s="630">
        <f>+Q288</f>
        <v>47000000</v>
      </c>
      <c r="R287" s="630">
        <f t="shared" ref="R287:S287" si="275">+R288</f>
        <v>0</v>
      </c>
      <c r="S287" s="630">
        <f t="shared" si="275"/>
        <v>0</v>
      </c>
      <c r="T287" s="565"/>
      <c r="U287" s="666"/>
      <c r="V287" s="663"/>
      <c r="W287" s="683">
        <f t="shared" ref="W287:AB287" si="276">+W288</f>
        <v>0</v>
      </c>
      <c r="X287" s="683">
        <f t="shared" si="276"/>
        <v>0</v>
      </c>
      <c r="Y287" s="683">
        <f>+Y288</f>
        <v>0</v>
      </c>
      <c r="Z287" s="683">
        <f>+Z288</f>
        <v>47000000</v>
      </c>
      <c r="AA287" s="683">
        <f t="shared" si="276"/>
        <v>0</v>
      </c>
      <c r="AB287" s="683">
        <f t="shared" si="276"/>
        <v>47000000</v>
      </c>
      <c r="AG287" s="661"/>
    </row>
    <row r="288" spans="2:33" ht="15" customHeight="1" outlineLevel="1" x14ac:dyDescent="0.2">
      <c r="B288" s="566" t="s">
        <v>7</v>
      </c>
      <c r="C288" s="567" t="s">
        <v>30</v>
      </c>
      <c r="D288" s="576" t="s">
        <v>27</v>
      </c>
      <c r="E288" s="567"/>
      <c r="F288" s="567"/>
      <c r="G288" s="567"/>
      <c r="H288" s="567"/>
      <c r="I288" s="567"/>
      <c r="J288" s="568"/>
      <c r="K288" s="566"/>
      <c r="L288" s="654" t="s">
        <v>633</v>
      </c>
      <c r="M288" s="569"/>
      <c r="N288" s="569"/>
      <c r="O288" s="570"/>
      <c r="P288" s="570"/>
      <c r="Q288" s="571">
        <v>47000000</v>
      </c>
      <c r="R288" s="567"/>
      <c r="S288" s="574"/>
      <c r="T288" s="572"/>
      <c r="U288" s="432"/>
      <c r="V288" s="433"/>
      <c r="W288" s="419"/>
      <c r="X288" s="419"/>
      <c r="Y288" s="689">
        <f>+X288-AA288</f>
        <v>0</v>
      </c>
      <c r="Z288" s="689">
        <f>+Q288-X288</f>
        <v>47000000</v>
      </c>
      <c r="AA288" s="419"/>
      <c r="AB288" s="419">
        <f>(Q288-X288)</f>
        <v>47000000</v>
      </c>
      <c r="AG288" s="661"/>
    </row>
    <row r="289" spans="2:33" ht="15.75" customHeight="1" x14ac:dyDescent="0.2">
      <c r="B289" s="577" t="s">
        <v>149</v>
      </c>
      <c r="C289" s="578"/>
      <c r="D289" s="578"/>
      <c r="E289" s="578"/>
      <c r="F289" s="578"/>
      <c r="G289" s="578"/>
      <c r="H289" s="578"/>
      <c r="I289" s="578"/>
      <c r="J289" s="579"/>
      <c r="K289" s="577"/>
      <c r="L289" s="655" t="s">
        <v>152</v>
      </c>
      <c r="M289" s="580"/>
      <c r="N289" s="580"/>
      <c r="O289" s="581"/>
      <c r="P289" s="581"/>
      <c r="Q289" s="632">
        <f>+Q290</f>
        <v>16777000000</v>
      </c>
      <c r="R289" s="632">
        <f t="shared" ref="R289:S290" si="277">+R290</f>
        <v>16777000000</v>
      </c>
      <c r="S289" s="632">
        <f t="shared" si="277"/>
        <v>0</v>
      </c>
      <c r="T289" s="582"/>
      <c r="U289" s="666"/>
      <c r="V289" s="679">
        <f>+X289-'[3]Sheet1 (2)'!$L$133</f>
        <v>-10000000</v>
      </c>
      <c r="W289" s="683">
        <f t="shared" ref="W289:AB290" si="278">+W290</f>
        <v>15685515982.48</v>
      </c>
      <c r="X289" s="683">
        <f t="shared" si="278"/>
        <v>15678585749.48</v>
      </c>
      <c r="Y289" s="683">
        <f>+Y290</f>
        <v>3632237481.7799997</v>
      </c>
      <c r="Z289" s="683">
        <f>+Z290</f>
        <v>1043170175.5199995</v>
      </c>
      <c r="AA289" s="683">
        <f t="shared" si="278"/>
        <v>12046348267.700001</v>
      </c>
      <c r="AB289" s="683">
        <f t="shared" si="278"/>
        <v>1043170175.5199995</v>
      </c>
      <c r="AC289" s="674">
        <f>+Z289-'[3]Sheet1 (2)'!$M$133</f>
        <v>-45244075.000000477</v>
      </c>
      <c r="AD289" s="661"/>
      <c r="AG289" s="661"/>
    </row>
    <row r="290" spans="2:33" ht="15" customHeight="1" outlineLevel="1" x14ac:dyDescent="0.2">
      <c r="B290" s="583" t="s">
        <v>149</v>
      </c>
      <c r="C290" s="584"/>
      <c r="D290" s="584" t="s">
        <v>150</v>
      </c>
      <c r="E290" s="584"/>
      <c r="F290" s="584"/>
      <c r="G290" s="584"/>
      <c r="H290" s="584"/>
      <c r="I290" s="584"/>
      <c r="J290" s="585"/>
      <c r="K290" s="583"/>
      <c r="L290" s="656" t="s">
        <v>153</v>
      </c>
      <c r="M290" s="586"/>
      <c r="N290" s="586"/>
      <c r="O290" s="587"/>
      <c r="P290" s="587"/>
      <c r="Q290" s="633">
        <f>+Q291</f>
        <v>16777000000</v>
      </c>
      <c r="R290" s="633">
        <f t="shared" si="277"/>
        <v>16777000000</v>
      </c>
      <c r="S290" s="633">
        <f t="shared" si="277"/>
        <v>0</v>
      </c>
      <c r="T290" s="588"/>
      <c r="U290" s="666"/>
      <c r="V290" s="679">
        <f>+AA289-'[3]Sheet1 (2)'!$O$133</f>
        <v>-10000000</v>
      </c>
      <c r="W290" s="683">
        <f t="shared" si="278"/>
        <v>15685515982.48</v>
      </c>
      <c r="X290" s="683">
        <f t="shared" si="278"/>
        <v>15678585749.48</v>
      </c>
      <c r="Y290" s="683">
        <f>+Y291</f>
        <v>3632237481.7799997</v>
      </c>
      <c r="Z290" s="683">
        <f>+Z291</f>
        <v>1043170175.5199995</v>
      </c>
      <c r="AA290" s="683">
        <f t="shared" si="278"/>
        <v>12046348267.700001</v>
      </c>
      <c r="AB290" s="683">
        <f t="shared" si="278"/>
        <v>1043170175.5199995</v>
      </c>
      <c r="AD290" s="661"/>
      <c r="AG290" s="661"/>
    </row>
    <row r="291" spans="2:33" ht="15" customHeight="1" outlineLevel="1" x14ac:dyDescent="0.2">
      <c r="B291" s="589" t="s">
        <v>149</v>
      </c>
      <c r="C291" s="590"/>
      <c r="D291" s="590" t="s">
        <v>150</v>
      </c>
      <c r="E291" s="590"/>
      <c r="F291" s="590" t="s">
        <v>151</v>
      </c>
      <c r="G291" s="590"/>
      <c r="H291" s="590"/>
      <c r="I291" s="590"/>
      <c r="J291" s="591"/>
      <c r="K291" s="589"/>
      <c r="L291" s="657" t="s">
        <v>154</v>
      </c>
      <c r="M291" s="592"/>
      <c r="N291" s="592"/>
      <c r="O291" s="593"/>
      <c r="P291" s="593"/>
      <c r="Q291" s="634">
        <f>+Q292+Q311</f>
        <v>16777000000</v>
      </c>
      <c r="R291" s="634">
        <f t="shared" ref="R291:S291" si="279">+R292+R311</f>
        <v>16777000000</v>
      </c>
      <c r="S291" s="634">
        <f t="shared" si="279"/>
        <v>0</v>
      </c>
      <c r="T291" s="594"/>
      <c r="U291" s="666"/>
      <c r="V291" s="663"/>
      <c r="W291" s="683">
        <f t="shared" ref="W291:AB291" si="280">+W292+W311</f>
        <v>15685515982.48</v>
      </c>
      <c r="X291" s="683">
        <f t="shared" si="280"/>
        <v>15678585749.48</v>
      </c>
      <c r="Y291" s="683">
        <f>+Y292+Y311</f>
        <v>3632237481.7799997</v>
      </c>
      <c r="Z291" s="683">
        <f>+Z292+Z311</f>
        <v>1043170175.5199995</v>
      </c>
      <c r="AA291" s="683">
        <f t="shared" si="280"/>
        <v>12046348267.700001</v>
      </c>
      <c r="AB291" s="683">
        <f t="shared" si="280"/>
        <v>1043170175.5199995</v>
      </c>
      <c r="AD291" s="661"/>
      <c r="AG291" s="661"/>
    </row>
    <row r="292" spans="2:33" ht="15.75" customHeight="1" outlineLevel="1" thickBot="1" x14ac:dyDescent="0.25">
      <c r="B292" s="434" t="s">
        <v>149</v>
      </c>
      <c r="C292" s="435"/>
      <c r="D292" s="435" t="s">
        <v>150</v>
      </c>
      <c r="E292" s="435"/>
      <c r="F292" s="435" t="s">
        <v>151</v>
      </c>
      <c r="G292" s="435"/>
      <c r="H292" s="435">
        <v>2</v>
      </c>
      <c r="I292" s="435"/>
      <c r="J292" s="436"/>
      <c r="K292" s="434"/>
      <c r="L292" s="641" t="s">
        <v>159</v>
      </c>
      <c r="M292" s="437"/>
      <c r="N292" s="437"/>
      <c r="O292" s="438"/>
      <c r="P292" s="438"/>
      <c r="Q292" s="635">
        <f>+Q293</f>
        <v>8142000000</v>
      </c>
      <c r="R292" s="635">
        <f t="shared" ref="R292:S292" si="281">+R293</f>
        <v>8142000000</v>
      </c>
      <c r="S292" s="635">
        <f t="shared" si="281"/>
        <v>0</v>
      </c>
      <c r="T292" s="595"/>
      <c r="U292" s="666"/>
      <c r="V292" s="663"/>
      <c r="W292" s="683">
        <f t="shared" ref="W292:AB292" si="282">+W293</f>
        <v>7563219022.5</v>
      </c>
      <c r="X292" s="683">
        <f t="shared" si="282"/>
        <v>7563219022.5</v>
      </c>
      <c r="Y292" s="683">
        <f>+Y293</f>
        <v>3469633589</v>
      </c>
      <c r="Z292" s="683">
        <f>+Z293</f>
        <v>523536902.5</v>
      </c>
      <c r="AA292" s="683">
        <f t="shared" si="282"/>
        <v>4093585433.5</v>
      </c>
      <c r="AB292" s="683">
        <f t="shared" si="282"/>
        <v>523536902.5</v>
      </c>
      <c r="AD292" s="661"/>
      <c r="AG292" s="661"/>
    </row>
    <row r="293" spans="2:33" ht="15.75" customHeight="1" outlineLevel="1" x14ac:dyDescent="0.2">
      <c r="B293" s="412" t="s">
        <v>7</v>
      </c>
      <c r="C293" s="413" t="s">
        <v>20</v>
      </c>
      <c r="D293" s="413"/>
      <c r="E293" s="413"/>
      <c r="F293" s="413"/>
      <c r="G293" s="413"/>
      <c r="H293" s="413"/>
      <c r="I293" s="413"/>
      <c r="J293" s="414"/>
      <c r="K293" s="415"/>
      <c r="L293" s="638" t="s">
        <v>412</v>
      </c>
      <c r="M293" s="596"/>
      <c r="N293" s="596"/>
      <c r="O293" s="597"/>
      <c r="P293" s="597"/>
      <c r="Q293" s="676">
        <f>SUM(Q294:Q310)</f>
        <v>8142000000</v>
      </c>
      <c r="R293" s="636">
        <v>8142000000</v>
      </c>
      <c r="S293" s="636">
        <f t="shared" ref="S293" si="283">SUM(S294:S309)</f>
        <v>0</v>
      </c>
      <c r="T293" s="598"/>
      <c r="U293" s="666"/>
      <c r="V293" s="663"/>
      <c r="W293" s="683">
        <f t="shared" ref="W293:AB293" si="284">SUM(W294:W309)</f>
        <v>7563219022.5</v>
      </c>
      <c r="X293" s="683">
        <f t="shared" si="284"/>
        <v>7563219022.5</v>
      </c>
      <c r="Y293" s="683">
        <f>SUM(Y294:Y309)</f>
        <v>3469633589</v>
      </c>
      <c r="Z293" s="683">
        <f>SUM(Z294:Z309)</f>
        <v>523536902.5</v>
      </c>
      <c r="AA293" s="683">
        <f t="shared" si="284"/>
        <v>4093585433.5</v>
      </c>
      <c r="AB293" s="683">
        <f t="shared" si="284"/>
        <v>523536902.5</v>
      </c>
      <c r="AD293" s="661"/>
      <c r="AG293" s="661"/>
    </row>
    <row r="294" spans="2:33" ht="45" outlineLevel="1" x14ac:dyDescent="0.2">
      <c r="B294" s="761"/>
      <c r="C294" s="756"/>
      <c r="D294" s="756"/>
      <c r="E294" s="756"/>
      <c r="F294" s="756"/>
      <c r="G294" s="756"/>
      <c r="H294" s="756"/>
      <c r="I294" s="756"/>
      <c r="J294" s="756"/>
      <c r="K294" s="453" t="s">
        <v>343</v>
      </c>
      <c r="L294" s="454" t="s">
        <v>718</v>
      </c>
      <c r="M294" s="455">
        <v>44593</v>
      </c>
      <c r="N294" s="455" t="s">
        <v>590</v>
      </c>
      <c r="O294" s="456" t="s">
        <v>362</v>
      </c>
      <c r="P294" s="456" t="s">
        <v>487</v>
      </c>
      <c r="Q294" s="457">
        <f>3139920499.21+5000000-0.21-30000000</f>
        <v>3114920499</v>
      </c>
      <c r="R294" s="458" t="s">
        <v>350</v>
      </c>
      <c r="S294" s="468"/>
      <c r="T294" s="454" t="s">
        <v>359</v>
      </c>
      <c r="U294" s="432">
        <v>38722</v>
      </c>
      <c r="V294" s="433">
        <v>44669</v>
      </c>
      <c r="W294" s="419">
        <f>+'[2]Exportar - 2022-06-07T094020.82'!$O$825</f>
        <v>3144920499</v>
      </c>
      <c r="X294" s="685">
        <f>+'[2]Exportar - 2022-06-07T094020.82'!$O$825</f>
        <v>3144920499</v>
      </c>
      <c r="Y294" s="689">
        <f t="shared" ref="Y294:Y309" si="285">+X294-AA294</f>
        <v>3144920499</v>
      </c>
      <c r="Z294" s="689">
        <f t="shared" ref="Z294:Z309" si="286">+Q294-X294</f>
        <v>-30000000</v>
      </c>
      <c r="AA294" s="419"/>
      <c r="AB294" s="419">
        <f t="shared" ref="AB294:AB309" si="287">(Q294-X294)</f>
        <v>-30000000</v>
      </c>
      <c r="AG294" s="661"/>
    </row>
    <row r="295" spans="2:33" ht="30" outlineLevel="1" x14ac:dyDescent="0.2">
      <c r="B295" s="761"/>
      <c r="C295" s="756"/>
      <c r="D295" s="756"/>
      <c r="E295" s="756"/>
      <c r="F295" s="756"/>
      <c r="G295" s="756"/>
      <c r="H295" s="756"/>
      <c r="I295" s="756"/>
      <c r="J295" s="756"/>
      <c r="K295" s="453">
        <v>81101500</v>
      </c>
      <c r="L295" s="454" t="s">
        <v>719</v>
      </c>
      <c r="M295" s="455">
        <v>44593</v>
      </c>
      <c r="N295" s="455" t="s">
        <v>590</v>
      </c>
      <c r="O295" s="456" t="s">
        <v>362</v>
      </c>
      <c r="P295" s="456" t="s">
        <v>660</v>
      </c>
      <c r="Q295" s="457">
        <f>313992042.92-5000000+0.08</f>
        <v>308992043</v>
      </c>
      <c r="R295" s="458" t="s">
        <v>350</v>
      </c>
      <c r="S295" s="468"/>
      <c r="T295" s="454" t="s">
        <v>359</v>
      </c>
      <c r="U295" s="432">
        <v>38822</v>
      </c>
      <c r="V295" s="433">
        <v>44669</v>
      </c>
      <c r="W295" s="419">
        <f>+'[2]Exportar - 2022-06-07T094020.82'!$O$826</f>
        <v>308992043</v>
      </c>
      <c r="X295" s="685">
        <f>+'[2]Exportar - 2022-06-07T094020.82'!$O$826</f>
        <v>308992043</v>
      </c>
      <c r="Y295" s="689">
        <f t="shared" si="285"/>
        <v>308992043</v>
      </c>
      <c r="Z295" s="689">
        <f t="shared" si="286"/>
        <v>0</v>
      </c>
      <c r="AA295" s="419"/>
      <c r="AB295" s="419">
        <f t="shared" si="287"/>
        <v>0</v>
      </c>
      <c r="AG295" s="661"/>
    </row>
    <row r="296" spans="2:33" ht="57.75" customHeight="1" outlineLevel="1" x14ac:dyDescent="0.2">
      <c r="B296" s="761"/>
      <c r="C296" s="756"/>
      <c r="D296" s="756"/>
      <c r="E296" s="756"/>
      <c r="F296" s="756"/>
      <c r="G296" s="756"/>
      <c r="H296" s="756"/>
      <c r="I296" s="756"/>
      <c r="J296" s="756"/>
      <c r="K296" s="453" t="s">
        <v>343</v>
      </c>
      <c r="L296" s="454" t="s">
        <v>475</v>
      </c>
      <c r="M296" s="455">
        <v>44459</v>
      </c>
      <c r="N296" s="455" t="s">
        <v>614</v>
      </c>
      <c r="O296" s="456" t="s">
        <v>362</v>
      </c>
      <c r="P296" s="456" t="s">
        <v>661</v>
      </c>
      <c r="Q296" s="457">
        <v>805936900</v>
      </c>
      <c r="R296" s="458" t="s">
        <v>350</v>
      </c>
      <c r="S296" s="468"/>
      <c r="T296" s="454" t="s">
        <v>359</v>
      </c>
      <c r="U296" s="432">
        <v>2022</v>
      </c>
      <c r="V296" s="433">
        <v>44572</v>
      </c>
      <c r="W296" s="419">
        <v>805936900</v>
      </c>
      <c r="X296" s="685">
        <v>805936900</v>
      </c>
      <c r="Y296" s="689">
        <f t="shared" si="285"/>
        <v>0</v>
      </c>
      <c r="Z296" s="689">
        <f t="shared" si="286"/>
        <v>0</v>
      </c>
      <c r="AA296" s="419">
        <v>805936900</v>
      </c>
      <c r="AB296" s="419">
        <f t="shared" si="287"/>
        <v>0</v>
      </c>
      <c r="AG296" s="661"/>
    </row>
    <row r="297" spans="2:33" ht="57.75" customHeight="1" outlineLevel="1" x14ac:dyDescent="0.2">
      <c r="B297" s="761"/>
      <c r="C297" s="756"/>
      <c r="D297" s="756"/>
      <c r="E297" s="756"/>
      <c r="F297" s="756"/>
      <c r="G297" s="756"/>
      <c r="H297" s="756"/>
      <c r="I297" s="756"/>
      <c r="J297" s="756"/>
      <c r="K297" s="453">
        <v>81101500</v>
      </c>
      <c r="L297" s="454" t="s">
        <v>358</v>
      </c>
      <c r="M297" s="455">
        <v>44459</v>
      </c>
      <c r="N297" s="455" t="s">
        <v>614</v>
      </c>
      <c r="O297" s="456" t="s">
        <v>362</v>
      </c>
      <c r="P297" s="456" t="s">
        <v>662</v>
      </c>
      <c r="Q297" s="457">
        <v>198893736</v>
      </c>
      <c r="R297" s="458" t="s">
        <v>350</v>
      </c>
      <c r="S297" s="468"/>
      <c r="T297" s="454" t="s">
        <v>359</v>
      </c>
      <c r="U297" s="432">
        <v>2222</v>
      </c>
      <c r="V297" s="433">
        <v>44572</v>
      </c>
      <c r="W297" s="419">
        <v>198893736</v>
      </c>
      <c r="X297" s="685">
        <v>198893736</v>
      </c>
      <c r="Y297" s="689">
        <f t="shared" si="285"/>
        <v>0</v>
      </c>
      <c r="Z297" s="689">
        <f t="shared" si="286"/>
        <v>0</v>
      </c>
      <c r="AA297" s="419">
        <v>198893736</v>
      </c>
      <c r="AB297" s="419">
        <f t="shared" si="287"/>
        <v>0</v>
      </c>
      <c r="AG297" s="661"/>
    </row>
    <row r="298" spans="2:33" ht="57.75" customHeight="1" outlineLevel="1" x14ac:dyDescent="0.2">
      <c r="B298" s="761"/>
      <c r="C298" s="756"/>
      <c r="D298" s="756"/>
      <c r="E298" s="756"/>
      <c r="F298" s="756"/>
      <c r="G298" s="756"/>
      <c r="H298" s="756"/>
      <c r="I298" s="756"/>
      <c r="J298" s="756"/>
      <c r="K298" s="453" t="s">
        <v>343</v>
      </c>
      <c r="L298" s="454" t="s">
        <v>476</v>
      </c>
      <c r="M298" s="455">
        <v>44459</v>
      </c>
      <c r="N298" s="455" t="s">
        <v>614</v>
      </c>
      <c r="O298" s="456" t="s">
        <v>362</v>
      </c>
      <c r="P298" s="456" t="s">
        <v>661</v>
      </c>
      <c r="Q298" s="457">
        <v>1659778723.6600001</v>
      </c>
      <c r="R298" s="458" t="s">
        <v>350</v>
      </c>
      <c r="S298" s="468"/>
      <c r="T298" s="454" t="s">
        <v>359</v>
      </c>
      <c r="U298" s="432">
        <v>2322</v>
      </c>
      <c r="V298" s="433">
        <v>44572</v>
      </c>
      <c r="W298" s="419">
        <v>1659778723.6600001</v>
      </c>
      <c r="X298" s="685">
        <v>1659778723.6600001</v>
      </c>
      <c r="Y298" s="689">
        <f t="shared" si="285"/>
        <v>0</v>
      </c>
      <c r="Z298" s="689">
        <f t="shared" si="286"/>
        <v>0</v>
      </c>
      <c r="AA298" s="419">
        <v>1659778723.6600001</v>
      </c>
      <c r="AB298" s="419">
        <f t="shared" si="287"/>
        <v>0</v>
      </c>
      <c r="AG298" s="661"/>
    </row>
    <row r="299" spans="2:33" ht="57.75" customHeight="1" outlineLevel="1" x14ac:dyDescent="0.2">
      <c r="B299" s="761"/>
      <c r="C299" s="756"/>
      <c r="D299" s="756"/>
      <c r="E299" s="756"/>
      <c r="F299" s="756"/>
      <c r="G299" s="756"/>
      <c r="H299" s="756"/>
      <c r="I299" s="756"/>
      <c r="J299" s="756"/>
      <c r="K299" s="453">
        <v>81101500</v>
      </c>
      <c r="L299" s="454" t="s">
        <v>477</v>
      </c>
      <c r="M299" s="455">
        <v>44459</v>
      </c>
      <c r="N299" s="455" t="s">
        <v>614</v>
      </c>
      <c r="O299" s="456" t="s">
        <v>362</v>
      </c>
      <c r="P299" s="456" t="s">
        <v>663</v>
      </c>
      <c r="Q299" s="457">
        <v>268000000</v>
      </c>
      <c r="R299" s="458" t="s">
        <v>350</v>
      </c>
      <c r="S299" s="468"/>
      <c r="T299" s="454" t="s">
        <v>359</v>
      </c>
      <c r="U299" s="432">
        <v>2822</v>
      </c>
      <c r="V299" s="433">
        <v>44572</v>
      </c>
      <c r="W299" s="419">
        <v>244113905</v>
      </c>
      <c r="X299" s="685">
        <v>244113905</v>
      </c>
      <c r="Y299" s="689">
        <f t="shared" si="285"/>
        <v>0</v>
      </c>
      <c r="Z299" s="689">
        <f t="shared" si="286"/>
        <v>23886095</v>
      </c>
      <c r="AA299" s="419">
        <v>244113905</v>
      </c>
      <c r="AB299" s="419">
        <f t="shared" si="287"/>
        <v>23886095</v>
      </c>
      <c r="AG299" s="661"/>
    </row>
    <row r="300" spans="2:33" ht="57.75" customHeight="1" outlineLevel="1" x14ac:dyDescent="0.2">
      <c r="B300" s="761"/>
      <c r="C300" s="756"/>
      <c r="D300" s="756"/>
      <c r="E300" s="756"/>
      <c r="F300" s="756"/>
      <c r="G300" s="756"/>
      <c r="H300" s="756"/>
      <c r="I300" s="756"/>
      <c r="J300" s="756"/>
      <c r="K300" s="453" t="s">
        <v>343</v>
      </c>
      <c r="L300" s="454" t="s">
        <v>478</v>
      </c>
      <c r="M300" s="455">
        <v>44409</v>
      </c>
      <c r="N300" s="455" t="s">
        <v>614</v>
      </c>
      <c r="O300" s="456" t="s">
        <v>362</v>
      </c>
      <c r="P300" s="456" t="s">
        <v>661</v>
      </c>
      <c r="Q300" s="457">
        <v>709399416.34000003</v>
      </c>
      <c r="R300" s="458" t="s">
        <v>350</v>
      </c>
      <c r="S300" s="468"/>
      <c r="T300" s="454" t="s">
        <v>359</v>
      </c>
      <c r="U300" s="432">
        <v>1822</v>
      </c>
      <c r="V300" s="675">
        <v>44572</v>
      </c>
      <c r="W300" s="419">
        <v>709399416.34000003</v>
      </c>
      <c r="X300" s="685">
        <v>709399416.34000003</v>
      </c>
      <c r="Y300" s="689">
        <f t="shared" si="285"/>
        <v>0</v>
      </c>
      <c r="Z300" s="689">
        <f t="shared" si="286"/>
        <v>0</v>
      </c>
      <c r="AA300" s="419">
        <v>709399416.34000003</v>
      </c>
      <c r="AB300" s="419">
        <f t="shared" si="287"/>
        <v>0</v>
      </c>
      <c r="AG300" s="661"/>
    </row>
    <row r="301" spans="2:33" ht="57.75" customHeight="1" outlineLevel="1" x14ac:dyDescent="0.2">
      <c r="B301" s="761"/>
      <c r="C301" s="756"/>
      <c r="D301" s="756"/>
      <c r="E301" s="756"/>
      <c r="F301" s="756"/>
      <c r="G301" s="756"/>
      <c r="H301" s="756"/>
      <c r="I301" s="756"/>
      <c r="J301" s="756"/>
      <c r="K301" s="453">
        <v>81101500</v>
      </c>
      <c r="L301" s="454" t="s">
        <v>479</v>
      </c>
      <c r="M301" s="455">
        <v>44409</v>
      </c>
      <c r="N301" s="455" t="s">
        <v>614</v>
      </c>
      <c r="O301" s="456" t="s">
        <v>362</v>
      </c>
      <c r="P301" s="456" t="s">
        <v>662</v>
      </c>
      <c r="Q301" s="457">
        <f>149170302+30000000</f>
        <v>179170302</v>
      </c>
      <c r="R301" s="458" t="s">
        <v>350</v>
      </c>
      <c r="S301" s="468"/>
      <c r="T301" s="454" t="s">
        <v>359</v>
      </c>
      <c r="U301" s="432">
        <v>1722</v>
      </c>
      <c r="V301" s="433">
        <v>44572</v>
      </c>
      <c r="W301" s="419">
        <v>149170302</v>
      </c>
      <c r="X301" s="685">
        <v>149170302</v>
      </c>
      <c r="Y301" s="689">
        <f t="shared" si="285"/>
        <v>0</v>
      </c>
      <c r="Z301" s="689">
        <f t="shared" si="286"/>
        <v>30000000</v>
      </c>
      <c r="AA301" s="419">
        <v>149170302</v>
      </c>
      <c r="AB301" s="419">
        <f t="shared" si="287"/>
        <v>30000000</v>
      </c>
      <c r="AG301" s="661"/>
    </row>
    <row r="302" spans="2:33" ht="57.75" customHeight="1" outlineLevel="1" x14ac:dyDescent="0.2">
      <c r="B302" s="761"/>
      <c r="C302" s="756"/>
      <c r="D302" s="756"/>
      <c r="E302" s="756"/>
      <c r="F302" s="756"/>
      <c r="G302" s="756"/>
      <c r="H302" s="756"/>
      <c r="I302" s="756"/>
      <c r="J302" s="756"/>
      <c r="K302" s="453" t="s">
        <v>343</v>
      </c>
      <c r="L302" s="454" t="s">
        <v>480</v>
      </c>
      <c r="M302" s="455">
        <v>44409</v>
      </c>
      <c r="N302" s="455" t="s">
        <v>614</v>
      </c>
      <c r="O302" s="456" t="s">
        <v>311</v>
      </c>
      <c r="P302" s="456" t="s">
        <v>661</v>
      </c>
      <c r="Q302" s="457">
        <f>106374054+222577370</f>
        <v>328951424</v>
      </c>
      <c r="R302" s="458" t="s">
        <v>350</v>
      </c>
      <c r="S302" s="468"/>
      <c r="T302" s="454" t="s">
        <v>359</v>
      </c>
      <c r="U302" s="432">
        <v>1922</v>
      </c>
      <c r="V302" s="433">
        <v>44572</v>
      </c>
      <c r="W302" s="419">
        <v>106374054</v>
      </c>
      <c r="X302" s="685">
        <v>106374054</v>
      </c>
      <c r="Y302" s="689">
        <f t="shared" si="285"/>
        <v>0</v>
      </c>
      <c r="Z302" s="689">
        <f t="shared" si="286"/>
        <v>222577370</v>
      </c>
      <c r="AA302" s="419">
        <v>106374054</v>
      </c>
      <c r="AB302" s="419">
        <f t="shared" si="287"/>
        <v>222577370</v>
      </c>
      <c r="AG302" s="661"/>
    </row>
    <row r="303" spans="2:33" ht="57.75" customHeight="1" outlineLevel="1" x14ac:dyDescent="0.2">
      <c r="B303" s="761"/>
      <c r="C303" s="756"/>
      <c r="D303" s="756"/>
      <c r="E303" s="756"/>
      <c r="F303" s="756"/>
      <c r="G303" s="756"/>
      <c r="H303" s="756"/>
      <c r="I303" s="756"/>
      <c r="J303" s="756"/>
      <c r="K303" s="453">
        <v>81101500</v>
      </c>
      <c r="L303" s="454" t="s">
        <v>481</v>
      </c>
      <c r="M303" s="455">
        <v>44409</v>
      </c>
      <c r="N303" s="455" t="s">
        <v>614</v>
      </c>
      <c r="O303" s="456" t="s">
        <v>311</v>
      </c>
      <c r="P303" s="456" t="s">
        <v>662</v>
      </c>
      <c r="Q303" s="457">
        <f>99446868+37292275.5+300+13118873.6</f>
        <v>149858317.09999999</v>
      </c>
      <c r="R303" s="458" t="s">
        <v>350</v>
      </c>
      <c r="S303" s="468"/>
      <c r="T303" s="454" t="s">
        <v>359</v>
      </c>
      <c r="U303" s="432">
        <v>2122</v>
      </c>
      <c r="V303" s="433">
        <v>44572</v>
      </c>
      <c r="W303" s="419">
        <v>136739443.5</v>
      </c>
      <c r="X303" s="685">
        <v>136739443.5</v>
      </c>
      <c r="Y303" s="689">
        <f t="shared" si="285"/>
        <v>0</v>
      </c>
      <c r="Z303" s="689">
        <f t="shared" si="286"/>
        <v>13118873.599999994</v>
      </c>
      <c r="AA303" s="419">
        <v>136739443.5</v>
      </c>
      <c r="AB303" s="419">
        <f t="shared" si="287"/>
        <v>13118873.599999994</v>
      </c>
      <c r="AG303" s="661"/>
    </row>
    <row r="304" spans="2:33" ht="30" outlineLevel="1" x14ac:dyDescent="0.2">
      <c r="B304" s="761"/>
      <c r="C304" s="756"/>
      <c r="D304" s="756"/>
      <c r="E304" s="756"/>
      <c r="F304" s="756"/>
      <c r="G304" s="756"/>
      <c r="H304" s="756"/>
      <c r="I304" s="756"/>
      <c r="J304" s="756"/>
      <c r="K304" s="453">
        <v>81101500</v>
      </c>
      <c r="L304" s="454" t="s">
        <v>615</v>
      </c>
      <c r="M304" s="455">
        <v>44701</v>
      </c>
      <c r="N304" s="455" t="s">
        <v>665</v>
      </c>
      <c r="O304" s="456" t="s">
        <v>311</v>
      </c>
      <c r="P304" s="456" t="s">
        <v>664</v>
      </c>
      <c r="Q304" s="457">
        <f>463700000-37292275.5-222577370-13118873.6-3392604</f>
        <v>187318876.90000001</v>
      </c>
      <c r="R304" s="458" t="s">
        <v>350</v>
      </c>
      <c r="S304" s="468"/>
      <c r="T304" s="454" t="s">
        <v>359</v>
      </c>
      <c r="U304" s="432"/>
      <c r="V304" s="433"/>
      <c r="W304" s="419"/>
      <c r="X304" s="685"/>
      <c r="Y304" s="689">
        <f t="shared" si="285"/>
        <v>0</v>
      </c>
      <c r="Z304" s="689">
        <f t="shared" si="286"/>
        <v>187318876.90000001</v>
      </c>
      <c r="AA304" s="419"/>
      <c r="AB304" s="419">
        <f t="shared" si="287"/>
        <v>187318876.90000001</v>
      </c>
      <c r="AG304" s="661"/>
    </row>
    <row r="305" spans="2:33" ht="30" outlineLevel="1" x14ac:dyDescent="0.2">
      <c r="B305" s="761"/>
      <c r="C305" s="756"/>
      <c r="D305" s="756"/>
      <c r="E305" s="756"/>
      <c r="F305" s="756"/>
      <c r="G305" s="756"/>
      <c r="H305" s="756"/>
      <c r="I305" s="756"/>
      <c r="J305" s="756"/>
      <c r="K305" s="453">
        <v>81101500</v>
      </c>
      <c r="L305" s="529" t="s">
        <v>635</v>
      </c>
      <c r="M305" s="455">
        <v>44575</v>
      </c>
      <c r="N305" s="455" t="s">
        <v>616</v>
      </c>
      <c r="O305" s="456" t="s">
        <v>324</v>
      </c>
      <c r="P305" s="456" t="s">
        <v>664</v>
      </c>
      <c r="Q305" s="457">
        <f>92387457.87-299.87-5487158</f>
        <v>86900000</v>
      </c>
      <c r="R305" s="458" t="s">
        <v>350</v>
      </c>
      <c r="S305" s="468"/>
      <c r="T305" s="454" t="s">
        <v>359</v>
      </c>
      <c r="U305" s="432" t="s">
        <v>696</v>
      </c>
      <c r="V305" s="433" t="s">
        <v>697</v>
      </c>
      <c r="W305" s="419">
        <v>63900000</v>
      </c>
      <c r="X305" s="685">
        <v>63900000</v>
      </c>
      <c r="Y305" s="689">
        <f t="shared" si="285"/>
        <v>0</v>
      </c>
      <c r="Z305" s="689">
        <f t="shared" si="286"/>
        <v>23000000</v>
      </c>
      <c r="AA305" s="419">
        <v>63900000</v>
      </c>
      <c r="AB305" s="419">
        <f t="shared" si="287"/>
        <v>23000000</v>
      </c>
      <c r="AG305" s="661"/>
    </row>
    <row r="306" spans="2:33" ht="30" outlineLevel="1" x14ac:dyDescent="0.2">
      <c r="B306" s="761"/>
      <c r="C306" s="756"/>
      <c r="D306" s="756"/>
      <c r="E306" s="756"/>
      <c r="F306" s="756"/>
      <c r="G306" s="756"/>
      <c r="H306" s="756"/>
      <c r="I306" s="756"/>
      <c r="J306" s="756"/>
      <c r="K306" s="453">
        <v>81101500</v>
      </c>
      <c r="L306" s="454" t="s">
        <v>620</v>
      </c>
      <c r="M306" s="455">
        <v>44593</v>
      </c>
      <c r="N306" s="455" t="s">
        <v>590</v>
      </c>
      <c r="O306" s="456" t="s">
        <v>332</v>
      </c>
      <c r="P306" s="456" t="s">
        <v>660</v>
      </c>
      <c r="Q306" s="457">
        <f>100000000-46364313</f>
        <v>53635687</v>
      </c>
      <c r="R306" s="458" t="s">
        <v>350</v>
      </c>
      <c r="S306" s="468"/>
      <c r="T306" s="454" t="s">
        <v>359</v>
      </c>
      <c r="U306" s="432"/>
      <c r="V306" s="433"/>
      <c r="W306" s="419"/>
      <c r="X306" s="685"/>
      <c r="Y306" s="689">
        <f t="shared" si="285"/>
        <v>0</v>
      </c>
      <c r="Z306" s="689">
        <f t="shared" si="286"/>
        <v>53635687</v>
      </c>
      <c r="AA306" s="419"/>
      <c r="AB306" s="419">
        <f t="shared" si="287"/>
        <v>53635687</v>
      </c>
      <c r="AG306" s="661"/>
    </row>
    <row r="307" spans="2:33" ht="30" outlineLevel="1" x14ac:dyDescent="0.2">
      <c r="B307" s="761"/>
      <c r="C307" s="756"/>
      <c r="D307" s="756"/>
      <c r="E307" s="756"/>
      <c r="F307" s="756"/>
      <c r="G307" s="756"/>
      <c r="H307" s="756"/>
      <c r="I307" s="756"/>
      <c r="J307" s="756"/>
      <c r="K307" s="453">
        <v>90121600</v>
      </c>
      <c r="L307" s="454" t="s">
        <v>482</v>
      </c>
      <c r="M307" s="455">
        <v>44582</v>
      </c>
      <c r="N307" s="455" t="s">
        <v>483</v>
      </c>
      <c r="O307" s="456" t="s">
        <v>324</v>
      </c>
      <c r="P307" s="456" t="s">
        <v>676</v>
      </c>
      <c r="Q307" s="457">
        <v>15000000</v>
      </c>
      <c r="R307" s="458" t="s">
        <v>350</v>
      </c>
      <c r="S307" s="468"/>
      <c r="T307" s="454" t="s">
        <v>359</v>
      </c>
      <c r="U307" s="432">
        <v>3522</v>
      </c>
      <c r="V307" s="433">
        <v>44573</v>
      </c>
      <c r="W307" s="419">
        <v>15000000</v>
      </c>
      <c r="X307" s="685">
        <v>15000000</v>
      </c>
      <c r="Y307" s="689">
        <f t="shared" si="285"/>
        <v>0</v>
      </c>
      <c r="Z307" s="689">
        <f t="shared" si="286"/>
        <v>0</v>
      </c>
      <c r="AA307" s="419">
        <v>15000000</v>
      </c>
      <c r="AB307" s="419">
        <f t="shared" si="287"/>
        <v>0</v>
      </c>
      <c r="AG307" s="661"/>
    </row>
    <row r="308" spans="2:33" ht="30" outlineLevel="1" x14ac:dyDescent="0.2">
      <c r="B308" s="761"/>
      <c r="C308" s="756"/>
      <c r="D308" s="756"/>
      <c r="E308" s="756"/>
      <c r="F308" s="756"/>
      <c r="G308" s="756"/>
      <c r="H308" s="756"/>
      <c r="I308" s="756"/>
      <c r="J308" s="756"/>
      <c r="K308" s="453">
        <v>90111500</v>
      </c>
      <c r="L308" s="454" t="s">
        <v>352</v>
      </c>
      <c r="M308" s="455">
        <v>44582</v>
      </c>
      <c r="N308" s="455" t="s">
        <v>483</v>
      </c>
      <c r="O308" s="456" t="s">
        <v>324</v>
      </c>
      <c r="P308" s="456" t="s">
        <v>375</v>
      </c>
      <c r="Q308" s="457">
        <v>10000000</v>
      </c>
      <c r="R308" s="458" t="s">
        <v>350</v>
      </c>
      <c r="S308" s="468"/>
      <c r="T308" s="454" t="s">
        <v>484</v>
      </c>
      <c r="U308" s="432">
        <v>11322</v>
      </c>
      <c r="V308" s="433">
        <v>44594</v>
      </c>
      <c r="W308" s="419">
        <v>10000000</v>
      </c>
      <c r="X308" s="685">
        <v>10000000</v>
      </c>
      <c r="Y308" s="689">
        <f t="shared" si="285"/>
        <v>5721047</v>
      </c>
      <c r="Z308" s="689">
        <f t="shared" si="286"/>
        <v>0</v>
      </c>
      <c r="AA308" s="419">
        <v>4278953</v>
      </c>
      <c r="AB308" s="419">
        <f t="shared" si="287"/>
        <v>0</v>
      </c>
      <c r="AG308" s="661"/>
    </row>
    <row r="309" spans="2:33" ht="30" outlineLevel="1" x14ac:dyDescent="0.2">
      <c r="B309" s="761"/>
      <c r="C309" s="756"/>
      <c r="D309" s="756"/>
      <c r="E309" s="756"/>
      <c r="F309" s="756"/>
      <c r="G309" s="756"/>
      <c r="H309" s="756"/>
      <c r="I309" s="756"/>
      <c r="J309" s="756"/>
      <c r="K309" s="463">
        <v>90111500</v>
      </c>
      <c r="L309" s="454" t="s">
        <v>353</v>
      </c>
      <c r="M309" s="455">
        <v>44582</v>
      </c>
      <c r="N309" s="455" t="s">
        <v>483</v>
      </c>
      <c r="O309" s="456" t="s">
        <v>301</v>
      </c>
      <c r="P309" s="456" t="s">
        <v>375</v>
      </c>
      <c r="Q309" s="457">
        <v>10000000</v>
      </c>
      <c r="R309" s="458" t="s">
        <v>350</v>
      </c>
      <c r="S309" s="468"/>
      <c r="T309" s="454" t="s">
        <v>359</v>
      </c>
      <c r="U309" s="432">
        <v>11322</v>
      </c>
      <c r="V309" s="433">
        <v>44594</v>
      </c>
      <c r="W309" s="419">
        <v>10000000</v>
      </c>
      <c r="X309" s="685">
        <v>10000000</v>
      </c>
      <c r="Y309" s="689">
        <f t="shared" si="285"/>
        <v>10000000</v>
      </c>
      <c r="Z309" s="689">
        <f t="shared" si="286"/>
        <v>0</v>
      </c>
      <c r="AA309" s="419"/>
      <c r="AB309" s="419">
        <f t="shared" si="287"/>
        <v>0</v>
      </c>
      <c r="AG309" s="661"/>
    </row>
    <row r="310" spans="2:33" ht="60" outlineLevel="1" x14ac:dyDescent="0.2">
      <c r="B310" s="700"/>
      <c r="C310" s="699"/>
      <c r="D310" s="699"/>
      <c r="E310" s="699"/>
      <c r="F310" s="699"/>
      <c r="G310" s="699"/>
      <c r="H310" s="699"/>
      <c r="I310" s="699"/>
      <c r="J310" s="699"/>
      <c r="K310" s="453" t="s">
        <v>721</v>
      </c>
      <c r="L310" s="454" t="s">
        <v>720</v>
      </c>
      <c r="M310" s="455">
        <v>44774</v>
      </c>
      <c r="N310" s="455" t="s">
        <v>717</v>
      </c>
      <c r="O310" s="456" t="s">
        <v>294</v>
      </c>
      <c r="P310" s="456" t="s">
        <v>722</v>
      </c>
      <c r="Q310" s="457">
        <v>55244075</v>
      </c>
      <c r="R310" s="458" t="s">
        <v>350</v>
      </c>
      <c r="S310" s="468"/>
      <c r="T310" s="454" t="s">
        <v>359</v>
      </c>
      <c r="U310" s="432"/>
      <c r="V310" s="433"/>
      <c r="W310" s="419"/>
      <c r="X310" s="685"/>
      <c r="Y310" s="689"/>
      <c r="Z310" s="689"/>
      <c r="AA310" s="419"/>
      <c r="AB310" s="419"/>
      <c r="AG310" s="661"/>
    </row>
    <row r="311" spans="2:33" ht="30.75" customHeight="1" outlineLevel="1" thickBot="1" x14ac:dyDescent="0.25">
      <c r="B311" s="599" t="s">
        <v>149</v>
      </c>
      <c r="C311" s="600"/>
      <c r="D311" s="600" t="s">
        <v>150</v>
      </c>
      <c r="E311" s="600"/>
      <c r="F311" s="600" t="s">
        <v>151</v>
      </c>
      <c r="G311" s="600"/>
      <c r="H311" s="600" t="s">
        <v>32</v>
      </c>
      <c r="I311" s="600"/>
      <c r="J311" s="601"/>
      <c r="K311" s="434"/>
      <c r="L311" s="641" t="s">
        <v>170</v>
      </c>
      <c r="M311" s="437"/>
      <c r="N311" s="437"/>
      <c r="O311" s="438"/>
      <c r="P311" s="438"/>
      <c r="Q311" s="677">
        <f>+Q312</f>
        <v>8635000000</v>
      </c>
      <c r="R311" s="619">
        <f t="shared" ref="R311:S311" si="288">+R312</f>
        <v>8635000000</v>
      </c>
      <c r="S311" s="619">
        <f t="shared" si="288"/>
        <v>0</v>
      </c>
      <c r="T311" s="439"/>
      <c r="U311" s="666"/>
      <c r="V311" s="663"/>
      <c r="W311" s="684">
        <f t="shared" ref="W311:AB311" si="289">+W312</f>
        <v>8122296959.9800005</v>
      </c>
      <c r="X311" s="686">
        <f t="shared" si="289"/>
        <v>8115366726.9800005</v>
      </c>
      <c r="Y311" s="684">
        <f>+Y312</f>
        <v>162603892.77999976</v>
      </c>
      <c r="Z311" s="684">
        <f>+Z312</f>
        <v>519633273.0199995</v>
      </c>
      <c r="AA311" s="684">
        <f t="shared" si="289"/>
        <v>7952762834.1999998</v>
      </c>
      <c r="AB311" s="684">
        <f t="shared" si="289"/>
        <v>519633273.0199995</v>
      </c>
      <c r="AG311" s="661"/>
    </row>
    <row r="312" spans="2:33" ht="15.75" customHeight="1" outlineLevel="1" x14ac:dyDescent="0.2">
      <c r="B312" s="412" t="s">
        <v>7</v>
      </c>
      <c r="C312" s="413" t="s">
        <v>20</v>
      </c>
      <c r="D312" s="413"/>
      <c r="E312" s="413"/>
      <c r="F312" s="413"/>
      <c r="G312" s="413"/>
      <c r="H312" s="413"/>
      <c r="I312" s="413"/>
      <c r="J312" s="414"/>
      <c r="K312" s="415"/>
      <c r="L312" s="638" t="s">
        <v>412</v>
      </c>
      <c r="M312" s="596"/>
      <c r="N312" s="596"/>
      <c r="O312" s="597"/>
      <c r="P312" s="597"/>
      <c r="Q312" s="678">
        <f>SUM(Q313:Q328)</f>
        <v>8635000000</v>
      </c>
      <c r="R312" s="637">
        <v>8635000000</v>
      </c>
      <c r="S312" s="637">
        <f>+Q312-R312</f>
        <v>0</v>
      </c>
      <c r="T312" s="602"/>
      <c r="U312" s="666"/>
      <c r="V312" s="663"/>
      <c r="W312" s="684">
        <f t="shared" ref="W312:AB312" si="290">SUM(W313:W328)</f>
        <v>8122296959.9800005</v>
      </c>
      <c r="X312" s="686">
        <f t="shared" si="290"/>
        <v>8115366726.9800005</v>
      </c>
      <c r="Y312" s="684">
        <f t="shared" si="290"/>
        <v>162603892.77999976</v>
      </c>
      <c r="Z312" s="684">
        <f t="shared" si="290"/>
        <v>519633273.0199995</v>
      </c>
      <c r="AA312" s="684">
        <f t="shared" si="290"/>
        <v>7952762834.1999998</v>
      </c>
      <c r="AB312" s="684">
        <f t="shared" si="290"/>
        <v>519633273.0199995</v>
      </c>
      <c r="AG312" s="661"/>
    </row>
    <row r="313" spans="2:33" ht="45" outlineLevel="1" x14ac:dyDescent="0.2">
      <c r="B313" s="754"/>
      <c r="C313" s="754"/>
      <c r="D313" s="754"/>
      <c r="E313" s="754"/>
      <c r="F313" s="754"/>
      <c r="G313" s="754"/>
      <c r="H313" s="754"/>
      <c r="I313" s="754"/>
      <c r="J313" s="755"/>
      <c r="K313" s="453" t="s">
        <v>343</v>
      </c>
      <c r="L313" s="454" t="s">
        <v>486</v>
      </c>
      <c r="M313" s="455">
        <v>44582</v>
      </c>
      <c r="N313" s="456" t="s">
        <v>668</v>
      </c>
      <c r="O313" s="456" t="s">
        <v>296</v>
      </c>
      <c r="P313" s="456" t="s">
        <v>487</v>
      </c>
      <c r="Q313" s="457">
        <v>1814469294.5599999</v>
      </c>
      <c r="R313" s="458" t="s">
        <v>350</v>
      </c>
      <c r="S313" s="468"/>
      <c r="T313" s="454" t="s">
        <v>359</v>
      </c>
      <c r="U313" s="432">
        <v>11122</v>
      </c>
      <c r="V313" s="433">
        <v>44594</v>
      </c>
      <c r="W313" s="419">
        <v>1833568971.3399999</v>
      </c>
      <c r="X313" s="685">
        <v>1833568971.3399999</v>
      </c>
      <c r="Y313" s="689">
        <f t="shared" ref="Y313:Y328" si="291">+X313-AA313</f>
        <v>19099676.779999971</v>
      </c>
      <c r="Z313" s="689">
        <f t="shared" ref="Z313:Z328" si="292">+Q313-X313</f>
        <v>-19099676.779999971</v>
      </c>
      <c r="AA313" s="419">
        <v>1814469294.5599999</v>
      </c>
      <c r="AB313" s="419">
        <f t="shared" ref="AB313:AB328" si="293">(Q313-X313)</f>
        <v>-19099676.779999971</v>
      </c>
      <c r="AG313" s="661"/>
    </row>
    <row r="314" spans="2:33" ht="30" outlineLevel="1" x14ac:dyDescent="0.2">
      <c r="B314" s="756"/>
      <c r="C314" s="756"/>
      <c r="D314" s="756"/>
      <c r="E314" s="756"/>
      <c r="F314" s="756"/>
      <c r="G314" s="756"/>
      <c r="H314" s="756"/>
      <c r="I314" s="756"/>
      <c r="J314" s="757"/>
      <c r="K314" s="463">
        <v>81101500</v>
      </c>
      <c r="L314" s="454" t="s">
        <v>488</v>
      </c>
      <c r="M314" s="455">
        <v>44582</v>
      </c>
      <c r="N314" s="456" t="s">
        <v>668</v>
      </c>
      <c r="O314" s="456" t="s">
        <v>296</v>
      </c>
      <c r="P314" s="456" t="s">
        <v>660</v>
      </c>
      <c r="Q314" s="457">
        <v>165000640</v>
      </c>
      <c r="R314" s="458" t="s">
        <v>350</v>
      </c>
      <c r="S314" s="468"/>
      <c r="T314" s="454" t="s">
        <v>359</v>
      </c>
      <c r="U314" s="432">
        <v>11222</v>
      </c>
      <c r="V314" s="433">
        <v>44594</v>
      </c>
      <c r="W314" s="419">
        <v>165021207.41999999</v>
      </c>
      <c r="X314" s="685">
        <v>165021207.41999999</v>
      </c>
      <c r="Y314" s="689">
        <f t="shared" si="291"/>
        <v>20567.419999986887</v>
      </c>
      <c r="Z314" s="689">
        <f t="shared" si="292"/>
        <v>-20567.419999986887</v>
      </c>
      <c r="AA314" s="419">
        <v>165000640</v>
      </c>
      <c r="AB314" s="419">
        <f t="shared" si="293"/>
        <v>-20567.419999986887</v>
      </c>
      <c r="AG314" s="661"/>
    </row>
    <row r="315" spans="2:33" ht="30" customHeight="1" outlineLevel="1" x14ac:dyDescent="0.2">
      <c r="B315" s="756"/>
      <c r="C315" s="756"/>
      <c r="D315" s="756"/>
      <c r="E315" s="756"/>
      <c r="F315" s="756"/>
      <c r="G315" s="756"/>
      <c r="H315" s="756"/>
      <c r="I315" s="756"/>
      <c r="J315" s="757"/>
      <c r="K315" s="453" t="s">
        <v>343</v>
      </c>
      <c r="L315" s="454" t="s">
        <v>489</v>
      </c>
      <c r="M315" s="455">
        <v>44582</v>
      </c>
      <c r="N315" s="456" t="s">
        <v>668</v>
      </c>
      <c r="O315" s="456" t="s">
        <v>326</v>
      </c>
      <c r="P315" s="456" t="s">
        <v>487</v>
      </c>
      <c r="Q315" s="457">
        <v>3486658509.1799998</v>
      </c>
      <c r="R315" s="458" t="s">
        <v>350</v>
      </c>
      <c r="S315" s="468"/>
      <c r="T315" s="454" t="s">
        <v>359</v>
      </c>
      <c r="U315" s="432">
        <v>10922</v>
      </c>
      <c r="V315" s="433">
        <v>44594</v>
      </c>
      <c r="W315" s="419">
        <v>3577522080.3000002</v>
      </c>
      <c r="X315" s="685">
        <v>3577522080.3000002</v>
      </c>
      <c r="Y315" s="689">
        <f t="shared" si="291"/>
        <v>90863571.119999886</v>
      </c>
      <c r="Z315" s="689">
        <f t="shared" si="292"/>
        <v>-90863571.120000362</v>
      </c>
      <c r="AA315" s="419">
        <v>3486658509.1800003</v>
      </c>
      <c r="AB315" s="419">
        <f t="shared" si="293"/>
        <v>-90863571.120000362</v>
      </c>
      <c r="AG315" s="661"/>
    </row>
    <row r="316" spans="2:33" ht="30" outlineLevel="1" x14ac:dyDescent="0.2">
      <c r="B316" s="756"/>
      <c r="C316" s="756"/>
      <c r="D316" s="756"/>
      <c r="E316" s="756"/>
      <c r="F316" s="756"/>
      <c r="G316" s="756"/>
      <c r="H316" s="756"/>
      <c r="I316" s="756"/>
      <c r="J316" s="757"/>
      <c r="K316" s="463">
        <v>81101500</v>
      </c>
      <c r="L316" s="454" t="s">
        <v>490</v>
      </c>
      <c r="M316" s="455">
        <v>44582</v>
      </c>
      <c r="N316" s="456" t="s">
        <v>668</v>
      </c>
      <c r="O316" s="456" t="s">
        <v>326</v>
      </c>
      <c r="P316" s="456" t="s">
        <v>660</v>
      </c>
      <c r="Q316" s="457">
        <v>286200160</v>
      </c>
      <c r="R316" s="458" t="s">
        <v>350</v>
      </c>
      <c r="S316" s="468"/>
      <c r="T316" s="454" t="s">
        <v>359</v>
      </c>
      <c r="U316" s="432">
        <v>11022</v>
      </c>
      <c r="V316" s="433">
        <v>44594</v>
      </c>
      <c r="W316" s="419">
        <v>286201766.42000002</v>
      </c>
      <c r="X316" s="685">
        <v>286201766.42000002</v>
      </c>
      <c r="Y316" s="689">
        <f t="shared" si="291"/>
        <v>1606.4200000166893</v>
      </c>
      <c r="Z316" s="689">
        <f t="shared" si="292"/>
        <v>-1606.4200000166893</v>
      </c>
      <c r="AA316" s="419">
        <v>286200160</v>
      </c>
      <c r="AB316" s="419">
        <f t="shared" si="293"/>
        <v>-1606.4200000166893</v>
      </c>
      <c r="AG316" s="661"/>
    </row>
    <row r="317" spans="2:33" ht="30" customHeight="1" outlineLevel="1" x14ac:dyDescent="0.2">
      <c r="B317" s="756"/>
      <c r="C317" s="756"/>
      <c r="D317" s="756"/>
      <c r="E317" s="756"/>
      <c r="F317" s="756"/>
      <c r="G317" s="756"/>
      <c r="H317" s="756"/>
      <c r="I317" s="756"/>
      <c r="J317" s="757"/>
      <c r="K317" s="453" t="s">
        <v>343</v>
      </c>
      <c r="L317" s="454" t="s">
        <v>667</v>
      </c>
      <c r="M317" s="455">
        <v>44582</v>
      </c>
      <c r="N317" s="456" t="s">
        <v>668</v>
      </c>
      <c r="O317" s="456" t="s">
        <v>326</v>
      </c>
      <c r="P317" s="456" t="s">
        <v>487</v>
      </c>
      <c r="Q317" s="457">
        <v>1933407045.46</v>
      </c>
      <c r="R317" s="458" t="s">
        <v>350</v>
      </c>
      <c r="S317" s="468"/>
      <c r="T317" s="454" t="s">
        <v>359</v>
      </c>
      <c r="U317" s="432">
        <v>19922</v>
      </c>
      <c r="V317" s="433">
        <v>44609</v>
      </c>
      <c r="W317" s="419">
        <v>1972461407.8000002</v>
      </c>
      <c r="X317" s="685">
        <v>1972461407.8000002</v>
      </c>
      <c r="Y317" s="689">
        <f t="shared" si="291"/>
        <v>39054362.339999914</v>
      </c>
      <c r="Z317" s="689">
        <f t="shared" si="292"/>
        <v>-39054362.340000153</v>
      </c>
      <c r="AA317" s="419">
        <v>1933407045.4600003</v>
      </c>
      <c r="AB317" s="419">
        <f t="shared" si="293"/>
        <v>-39054362.340000153</v>
      </c>
      <c r="AG317" s="661"/>
    </row>
    <row r="318" spans="2:33" ht="30" outlineLevel="1" x14ac:dyDescent="0.2">
      <c r="B318" s="756"/>
      <c r="C318" s="756"/>
      <c r="D318" s="756"/>
      <c r="E318" s="756"/>
      <c r="F318" s="756"/>
      <c r="G318" s="756"/>
      <c r="H318" s="756"/>
      <c r="I318" s="756"/>
      <c r="J318" s="757"/>
      <c r="K318" s="453">
        <v>81101500</v>
      </c>
      <c r="L318" s="454" t="s">
        <v>666</v>
      </c>
      <c r="M318" s="455">
        <v>44582</v>
      </c>
      <c r="N318" s="456" t="s">
        <v>668</v>
      </c>
      <c r="O318" s="456" t="s">
        <v>326</v>
      </c>
      <c r="P318" s="456" t="s">
        <v>660</v>
      </c>
      <c r="Q318" s="457">
        <v>177510872</v>
      </c>
      <c r="R318" s="458" t="s">
        <v>350</v>
      </c>
      <c r="S318" s="468"/>
      <c r="T318" s="454" t="s">
        <v>359</v>
      </c>
      <c r="U318" s="432">
        <v>97922</v>
      </c>
      <c r="V318" s="433">
        <v>44701</v>
      </c>
      <c r="W318" s="419">
        <v>177521526.69999999</v>
      </c>
      <c r="X318" s="685">
        <v>177521526.69999999</v>
      </c>
      <c r="Y318" s="689">
        <f t="shared" si="291"/>
        <v>10654.699999988079</v>
      </c>
      <c r="Z318" s="689">
        <f t="shared" si="292"/>
        <v>-10654.699999988079</v>
      </c>
      <c r="AA318" s="419">
        <v>177510872</v>
      </c>
      <c r="AB318" s="419">
        <f t="shared" si="293"/>
        <v>-10654.699999988079</v>
      </c>
      <c r="AG318" s="661"/>
    </row>
    <row r="319" spans="2:33" ht="45" outlineLevel="1" x14ac:dyDescent="0.2">
      <c r="B319" s="756"/>
      <c r="C319" s="756"/>
      <c r="D319" s="756"/>
      <c r="E319" s="756"/>
      <c r="F319" s="756"/>
      <c r="G319" s="756"/>
      <c r="H319" s="756"/>
      <c r="I319" s="756"/>
      <c r="J319" s="757"/>
      <c r="K319" s="453" t="s">
        <v>343</v>
      </c>
      <c r="L319" s="454" t="s">
        <v>709</v>
      </c>
      <c r="M319" s="455">
        <v>44645</v>
      </c>
      <c r="N319" s="455" t="s">
        <v>674</v>
      </c>
      <c r="O319" s="456" t="s">
        <v>331</v>
      </c>
      <c r="P319" s="456" t="s">
        <v>669</v>
      </c>
      <c r="Q319" s="457">
        <v>206874891</v>
      </c>
      <c r="R319" s="458" t="s">
        <v>350</v>
      </c>
      <c r="S319" s="468"/>
      <c r="T319" s="454" t="s">
        <v>359</v>
      </c>
      <c r="U319" s="432"/>
      <c r="V319" s="433"/>
      <c r="W319" s="419"/>
      <c r="X319" s="685"/>
      <c r="Y319" s="689">
        <f t="shared" si="291"/>
        <v>0</v>
      </c>
      <c r="Z319" s="689">
        <f t="shared" si="292"/>
        <v>206874891</v>
      </c>
      <c r="AA319" s="419"/>
      <c r="AB319" s="419">
        <f t="shared" si="293"/>
        <v>206874891</v>
      </c>
      <c r="AG319" s="661"/>
    </row>
    <row r="320" spans="2:33" ht="30" customHeight="1" outlineLevel="1" x14ac:dyDescent="0.2">
      <c r="B320" s="756"/>
      <c r="C320" s="756"/>
      <c r="D320" s="756"/>
      <c r="E320" s="756"/>
      <c r="F320" s="756"/>
      <c r="G320" s="756"/>
      <c r="H320" s="756"/>
      <c r="I320" s="756"/>
      <c r="J320" s="757"/>
      <c r="K320" s="453">
        <v>81101500</v>
      </c>
      <c r="L320" s="454" t="s">
        <v>682</v>
      </c>
      <c r="M320" s="455">
        <v>44645</v>
      </c>
      <c r="N320" s="455" t="s">
        <v>674</v>
      </c>
      <c r="O320" s="456" t="s">
        <v>331</v>
      </c>
      <c r="P320" s="456" t="s">
        <v>712</v>
      </c>
      <c r="Q320" s="457">
        <f>20000000-10100000</f>
        <v>9900000</v>
      </c>
      <c r="R320" s="458" t="s">
        <v>350</v>
      </c>
      <c r="S320" s="468"/>
      <c r="T320" s="454" t="s">
        <v>359</v>
      </c>
      <c r="U320" s="432"/>
      <c r="V320" s="433"/>
      <c r="W320" s="419"/>
      <c r="X320" s="685"/>
      <c r="Y320" s="689">
        <f t="shared" si="291"/>
        <v>0</v>
      </c>
      <c r="Z320" s="689">
        <f t="shared" si="292"/>
        <v>9900000</v>
      </c>
      <c r="AA320" s="419"/>
      <c r="AB320" s="419">
        <f t="shared" si="293"/>
        <v>9900000</v>
      </c>
      <c r="AG320" s="661"/>
    </row>
    <row r="321" spans="2:33" ht="30" customHeight="1" outlineLevel="1" x14ac:dyDescent="0.2">
      <c r="B321" s="756"/>
      <c r="C321" s="756"/>
      <c r="D321" s="756"/>
      <c r="E321" s="756"/>
      <c r="F321" s="756"/>
      <c r="G321" s="756"/>
      <c r="H321" s="756"/>
      <c r="I321" s="756"/>
      <c r="J321" s="757"/>
      <c r="K321" s="453" t="s">
        <v>343</v>
      </c>
      <c r="L321" s="454" t="s">
        <v>710</v>
      </c>
      <c r="M321" s="455">
        <v>44743</v>
      </c>
      <c r="N321" s="455" t="s">
        <v>713</v>
      </c>
      <c r="O321" s="456" t="s">
        <v>331</v>
      </c>
      <c r="P321" s="456" t="s">
        <v>669</v>
      </c>
      <c r="Q321" s="457">
        <v>87759501.370000005</v>
      </c>
      <c r="R321" s="458" t="s">
        <v>350</v>
      </c>
      <c r="S321" s="468"/>
      <c r="T321" s="454" t="s">
        <v>359</v>
      </c>
      <c r="U321" s="432"/>
      <c r="V321" s="433"/>
      <c r="W321" s="419"/>
      <c r="X321" s="685"/>
      <c r="Y321" s="689"/>
      <c r="Z321" s="689">
        <f t="shared" si="292"/>
        <v>87759501.370000005</v>
      </c>
      <c r="AA321" s="419"/>
      <c r="AB321" s="419">
        <f t="shared" si="293"/>
        <v>87759501.370000005</v>
      </c>
      <c r="AG321" s="661"/>
    </row>
    <row r="322" spans="2:33" ht="45" outlineLevel="1" x14ac:dyDescent="0.2">
      <c r="B322" s="756"/>
      <c r="C322" s="756"/>
      <c r="D322" s="756"/>
      <c r="E322" s="756"/>
      <c r="F322" s="756"/>
      <c r="G322" s="756"/>
      <c r="H322" s="756"/>
      <c r="I322" s="756"/>
      <c r="J322" s="757"/>
      <c r="K322" s="453" t="s">
        <v>723</v>
      </c>
      <c r="L322" s="454" t="s">
        <v>724</v>
      </c>
      <c r="M322" s="455">
        <v>44743</v>
      </c>
      <c r="N322" s="455" t="s">
        <v>713</v>
      </c>
      <c r="O322" s="456" t="s">
        <v>294</v>
      </c>
      <c r="P322" s="456" t="s">
        <v>669</v>
      </c>
      <c r="Q322" s="457">
        <f>84425738.26+16458526.48</f>
        <v>100884264.74000001</v>
      </c>
      <c r="R322" s="458" t="s">
        <v>350</v>
      </c>
      <c r="S322" s="468"/>
      <c r="T322" s="454" t="s">
        <v>359</v>
      </c>
      <c r="U322" s="432"/>
      <c r="V322" s="433"/>
      <c r="W322" s="419"/>
      <c r="X322" s="685"/>
      <c r="Y322" s="689"/>
      <c r="Z322" s="689">
        <f t="shared" si="292"/>
        <v>100884264.74000001</v>
      </c>
      <c r="AA322" s="419"/>
      <c r="AB322" s="419">
        <f t="shared" si="293"/>
        <v>100884264.74000001</v>
      </c>
      <c r="AG322" s="661"/>
    </row>
    <row r="323" spans="2:33" ht="30" customHeight="1" outlineLevel="1" x14ac:dyDescent="0.2">
      <c r="B323" s="756"/>
      <c r="C323" s="756"/>
      <c r="D323" s="756"/>
      <c r="E323" s="756"/>
      <c r="F323" s="756"/>
      <c r="G323" s="756"/>
      <c r="H323" s="756"/>
      <c r="I323" s="756"/>
      <c r="J323" s="757"/>
      <c r="K323" s="453" t="s">
        <v>343</v>
      </c>
      <c r="L323" s="454" t="s">
        <v>711</v>
      </c>
      <c r="M323" s="455">
        <v>44743</v>
      </c>
      <c r="N323" s="455" t="s">
        <v>713</v>
      </c>
      <c r="O323" s="456" t="s">
        <v>331</v>
      </c>
      <c r="P323" s="456" t="s">
        <v>669</v>
      </c>
      <c r="Q323" s="457">
        <f>145893348.17+24441473.52</f>
        <v>170334821.69</v>
      </c>
      <c r="R323" s="458" t="s">
        <v>350</v>
      </c>
      <c r="S323" s="468"/>
      <c r="T323" s="454" t="s">
        <v>359</v>
      </c>
      <c r="U323" s="432"/>
      <c r="V323" s="433"/>
      <c r="W323" s="419"/>
      <c r="X323" s="685"/>
      <c r="Y323" s="689"/>
      <c r="Z323" s="689">
        <f t="shared" si="292"/>
        <v>170334821.69</v>
      </c>
      <c r="AA323" s="419"/>
      <c r="AB323" s="419">
        <f t="shared" si="293"/>
        <v>170334821.69</v>
      </c>
      <c r="AG323" s="661"/>
    </row>
    <row r="324" spans="2:33" ht="30" customHeight="1" outlineLevel="1" x14ac:dyDescent="0.2">
      <c r="B324" s="756"/>
      <c r="C324" s="756"/>
      <c r="D324" s="756"/>
      <c r="E324" s="756"/>
      <c r="F324" s="756"/>
      <c r="G324" s="756"/>
      <c r="H324" s="756"/>
      <c r="I324" s="756"/>
      <c r="J324" s="757"/>
      <c r="K324" s="453" t="s">
        <v>343</v>
      </c>
      <c r="L324" s="454" t="s">
        <v>683</v>
      </c>
      <c r="M324" s="455" t="s">
        <v>375</v>
      </c>
      <c r="N324" s="455" t="s">
        <v>375</v>
      </c>
      <c r="O324" s="456" t="s">
        <v>375</v>
      </c>
      <c r="P324" s="456" t="s">
        <v>375</v>
      </c>
      <c r="Q324" s="457">
        <v>50000000</v>
      </c>
      <c r="R324" s="458" t="s">
        <v>350</v>
      </c>
      <c r="S324" s="468"/>
      <c r="T324" s="454" t="s">
        <v>359</v>
      </c>
      <c r="U324" s="432">
        <v>19722</v>
      </c>
      <c r="V324" s="433">
        <v>44608</v>
      </c>
      <c r="W324" s="419">
        <v>10000000</v>
      </c>
      <c r="X324" s="685">
        <v>3069767</v>
      </c>
      <c r="Y324" s="689">
        <f t="shared" si="291"/>
        <v>0</v>
      </c>
      <c r="Z324" s="689">
        <f t="shared" si="292"/>
        <v>46930233</v>
      </c>
      <c r="AA324" s="419">
        <v>3069767</v>
      </c>
      <c r="AB324" s="419">
        <f t="shared" si="293"/>
        <v>46930233</v>
      </c>
      <c r="AG324" s="661"/>
    </row>
    <row r="325" spans="2:33" ht="30" outlineLevel="1" x14ac:dyDescent="0.2">
      <c r="B325" s="756"/>
      <c r="C325" s="756"/>
      <c r="D325" s="756"/>
      <c r="E325" s="756"/>
      <c r="F325" s="756"/>
      <c r="G325" s="756"/>
      <c r="H325" s="756"/>
      <c r="I325" s="756"/>
      <c r="J325" s="757"/>
      <c r="K325" s="453">
        <v>81101500</v>
      </c>
      <c r="L325" s="454" t="s">
        <v>621</v>
      </c>
      <c r="M325" s="455">
        <v>44568</v>
      </c>
      <c r="N325" s="455" t="s">
        <v>616</v>
      </c>
      <c r="O325" s="456" t="s">
        <v>324</v>
      </c>
      <c r="P325" s="456" t="s">
        <v>681</v>
      </c>
      <c r="Q325" s="457">
        <f>151800000-30800000</f>
        <v>121000000</v>
      </c>
      <c r="R325" s="458" t="s">
        <v>350</v>
      </c>
      <c r="S325" s="468"/>
      <c r="T325" s="454" t="s">
        <v>359</v>
      </c>
      <c r="U325" s="432" t="s">
        <v>695</v>
      </c>
      <c r="V325" s="433">
        <v>44573</v>
      </c>
      <c r="W325" s="419">
        <v>75000000</v>
      </c>
      <c r="X325" s="685">
        <v>75000000</v>
      </c>
      <c r="Y325" s="689">
        <f t="shared" si="291"/>
        <v>0</v>
      </c>
      <c r="Z325" s="689">
        <f t="shared" si="292"/>
        <v>46000000</v>
      </c>
      <c r="AA325" s="419">
        <v>75000000</v>
      </c>
      <c r="AB325" s="419">
        <f t="shared" si="293"/>
        <v>46000000</v>
      </c>
      <c r="AG325" s="661"/>
    </row>
    <row r="326" spans="2:33" ht="30" outlineLevel="1" x14ac:dyDescent="0.2">
      <c r="B326" s="756"/>
      <c r="C326" s="756"/>
      <c r="D326" s="756"/>
      <c r="E326" s="756"/>
      <c r="F326" s="756"/>
      <c r="G326" s="756"/>
      <c r="H326" s="756"/>
      <c r="I326" s="756"/>
      <c r="J326" s="757"/>
      <c r="K326" s="453">
        <v>90121600</v>
      </c>
      <c r="L326" s="454" t="s">
        <v>491</v>
      </c>
      <c r="M326" s="455">
        <v>44571</v>
      </c>
      <c r="N326" s="455" t="s">
        <v>616</v>
      </c>
      <c r="O326" s="456" t="s">
        <v>324</v>
      </c>
      <c r="P326" s="456" t="s">
        <v>676</v>
      </c>
      <c r="Q326" s="457">
        <v>10000000</v>
      </c>
      <c r="R326" s="458" t="s">
        <v>350</v>
      </c>
      <c r="S326" s="468"/>
      <c r="T326" s="454" t="s">
        <v>484</v>
      </c>
      <c r="U326" s="432">
        <v>3522</v>
      </c>
      <c r="V326" s="433">
        <v>44573</v>
      </c>
      <c r="W326" s="419">
        <v>10000000</v>
      </c>
      <c r="X326" s="685">
        <v>10000000</v>
      </c>
      <c r="Y326" s="689">
        <f t="shared" si="291"/>
        <v>0</v>
      </c>
      <c r="Z326" s="689">
        <f t="shared" si="292"/>
        <v>0</v>
      </c>
      <c r="AA326" s="419">
        <v>10000000</v>
      </c>
      <c r="AB326" s="419">
        <f t="shared" si="293"/>
        <v>0</v>
      </c>
      <c r="AG326" s="661"/>
    </row>
    <row r="327" spans="2:33" ht="30" outlineLevel="1" x14ac:dyDescent="0.2">
      <c r="B327" s="756"/>
      <c r="C327" s="756"/>
      <c r="D327" s="756"/>
      <c r="E327" s="756"/>
      <c r="F327" s="756"/>
      <c r="G327" s="756"/>
      <c r="H327" s="756"/>
      <c r="I327" s="756"/>
      <c r="J327" s="757"/>
      <c r="K327" s="453">
        <v>90111500</v>
      </c>
      <c r="L327" s="454" t="s">
        <v>352</v>
      </c>
      <c r="M327" s="455">
        <v>44571</v>
      </c>
      <c r="N327" s="455" t="s">
        <v>616</v>
      </c>
      <c r="O327" s="456" t="s">
        <v>324</v>
      </c>
      <c r="P327" s="456" t="s">
        <v>375</v>
      </c>
      <c r="Q327" s="457">
        <v>7500000</v>
      </c>
      <c r="R327" s="458" t="s">
        <v>350</v>
      </c>
      <c r="S327" s="468"/>
      <c r="T327" s="454" t="s">
        <v>359</v>
      </c>
      <c r="U327" s="432">
        <v>11322</v>
      </c>
      <c r="V327" s="433">
        <v>44594</v>
      </c>
      <c r="W327" s="419">
        <v>7500000</v>
      </c>
      <c r="X327" s="685">
        <v>7500000</v>
      </c>
      <c r="Y327" s="689">
        <f t="shared" si="291"/>
        <v>6053454</v>
      </c>
      <c r="Z327" s="689">
        <f t="shared" si="292"/>
        <v>0</v>
      </c>
      <c r="AA327" s="419">
        <v>1446546</v>
      </c>
      <c r="AB327" s="419">
        <f t="shared" si="293"/>
        <v>0</v>
      </c>
      <c r="AG327" s="661"/>
    </row>
    <row r="328" spans="2:33" ht="15" customHeight="1" outlineLevel="1" x14ac:dyDescent="0.2">
      <c r="B328" s="756"/>
      <c r="C328" s="756"/>
      <c r="D328" s="756"/>
      <c r="E328" s="756"/>
      <c r="F328" s="756"/>
      <c r="G328" s="756"/>
      <c r="H328" s="756"/>
      <c r="I328" s="756"/>
      <c r="J328" s="757"/>
      <c r="K328" s="463">
        <v>90111500</v>
      </c>
      <c r="L328" s="454" t="s">
        <v>353</v>
      </c>
      <c r="M328" s="455">
        <v>44571</v>
      </c>
      <c r="N328" s="455" t="s">
        <v>616</v>
      </c>
      <c r="O328" s="456" t="s">
        <v>324</v>
      </c>
      <c r="P328" s="456" t="s">
        <v>375</v>
      </c>
      <c r="Q328" s="457">
        <v>7500000</v>
      </c>
      <c r="R328" s="458" t="s">
        <v>350</v>
      </c>
      <c r="S328" s="468"/>
      <c r="T328" s="454" t="s">
        <v>359</v>
      </c>
      <c r="U328" s="667">
        <v>11322</v>
      </c>
      <c r="V328" s="668">
        <v>44594</v>
      </c>
      <c r="W328" s="419">
        <v>7500000</v>
      </c>
      <c r="X328" s="685">
        <v>7500000</v>
      </c>
      <c r="Y328" s="689">
        <f t="shared" si="291"/>
        <v>7500000</v>
      </c>
      <c r="Z328" s="689">
        <f t="shared" si="292"/>
        <v>0</v>
      </c>
      <c r="AA328" s="419">
        <v>0</v>
      </c>
      <c r="AB328" s="419">
        <f t="shared" si="293"/>
        <v>0</v>
      </c>
      <c r="AG328" s="661"/>
    </row>
    <row r="329" spans="2:33" ht="15" customHeight="1" outlineLevel="1" thickBot="1" x14ac:dyDescent="0.25">
      <c r="AG329" s="661"/>
    </row>
    <row r="330" spans="2:33" ht="15" customHeight="1" outlineLevel="1" thickBot="1" x14ac:dyDescent="0.25">
      <c r="B330" s="604"/>
      <c r="C330" s="605"/>
      <c r="D330" s="605"/>
      <c r="E330" s="605"/>
      <c r="F330" s="605"/>
      <c r="G330" s="605"/>
      <c r="H330" s="605"/>
      <c r="I330" s="605"/>
      <c r="J330" s="605"/>
      <c r="K330" s="605"/>
      <c r="L330" s="605"/>
      <c r="M330" s="605"/>
      <c r="N330" s="605"/>
      <c r="O330" s="605"/>
      <c r="P330" s="605"/>
      <c r="Q330" s="605"/>
      <c r="R330" s="606"/>
      <c r="S330" s="607"/>
      <c r="T330" s="608">
        <f>+Q289+Q275+Q270+Q186+Q7</f>
        <v>40856000000.353333</v>
      </c>
      <c r="AC330" s="609"/>
      <c r="AD330" s="610">
        <v>45576609062</v>
      </c>
      <c r="AG330" s="661"/>
    </row>
    <row r="331" spans="2:33" ht="15" customHeight="1" x14ac:dyDescent="0.25">
      <c r="W331" s="674"/>
      <c r="AC331" s="611"/>
      <c r="AD331" s="612"/>
      <c r="AG331" s="661"/>
    </row>
    <row r="332" spans="2:33" ht="15" customHeight="1" x14ac:dyDescent="0.2">
      <c r="W332" s="661"/>
      <c r="AC332" s="613">
        <v>1</v>
      </c>
      <c r="AD332" s="610">
        <v>4604000000</v>
      </c>
      <c r="AG332" s="661"/>
    </row>
    <row r="333" spans="2:33" ht="15" customHeight="1" x14ac:dyDescent="0.2">
      <c r="AC333" s="613">
        <v>2</v>
      </c>
      <c r="AD333" s="610">
        <v>5173000000</v>
      </c>
      <c r="AG333" s="661"/>
    </row>
    <row r="334" spans="2:33" x14ac:dyDescent="0.2">
      <c r="AC334" s="613">
        <v>3</v>
      </c>
      <c r="AD334" s="610">
        <v>10800000</v>
      </c>
      <c r="AG334" s="661"/>
    </row>
    <row r="335" spans="2:33" x14ac:dyDescent="0.2">
      <c r="AC335" s="613">
        <v>5</v>
      </c>
      <c r="AD335" s="610">
        <v>9450000000</v>
      </c>
      <c r="AG335" s="661"/>
    </row>
    <row r="336" spans="2:33" x14ac:dyDescent="0.2">
      <c r="T336" s="614"/>
      <c r="AC336" s="613">
        <v>7</v>
      </c>
      <c r="AD336" s="610">
        <v>5706000000</v>
      </c>
      <c r="AG336" s="661"/>
    </row>
    <row r="337" spans="29:33" x14ac:dyDescent="0.2">
      <c r="AC337" s="613">
        <v>8</v>
      </c>
      <c r="AD337" s="610">
        <v>3750000000</v>
      </c>
      <c r="AG337" s="661"/>
    </row>
    <row r="338" spans="29:33" x14ac:dyDescent="0.2">
      <c r="AC338" s="613"/>
      <c r="AD338" s="610"/>
    </row>
    <row r="339" spans="29:33" x14ac:dyDescent="0.2">
      <c r="AC339" s="613" t="s">
        <v>634</v>
      </c>
      <c r="AD339" s="610">
        <v>16771000000</v>
      </c>
    </row>
    <row r="340" spans="29:33" x14ac:dyDescent="0.2">
      <c r="AC340" s="609"/>
      <c r="AD340" s="615">
        <f>+AD333+AD335+AD336+AD337+AD339</f>
        <v>40850000000</v>
      </c>
    </row>
  </sheetData>
  <sheetProtection formatCells="0" formatColumns="0" formatRows="0" insertColumns="0" insertRows="0" insertHyperlinks="0" deleteColumns="0" deleteRows="0" sort="0" autoFilter="0" pivotTables="0"/>
  <autoFilter ref="B6:AG328"/>
  <mergeCells count="63">
    <mergeCell ref="B183:J183"/>
    <mergeCell ref="B175:J176"/>
    <mergeCell ref="B19:J19"/>
    <mergeCell ref="B112:J112"/>
    <mergeCell ref="B91:J91"/>
    <mergeCell ref="B97:J99"/>
    <mergeCell ref="B101:J102"/>
    <mergeCell ref="B105:J106"/>
    <mergeCell ref="B42:J43"/>
    <mergeCell ref="B45:J46"/>
    <mergeCell ref="B272:J272"/>
    <mergeCell ref="B256:J256"/>
    <mergeCell ref="B216:J230"/>
    <mergeCell ref="B114:J114"/>
    <mergeCell ref="B118:J119"/>
    <mergeCell ref="B171:J172"/>
    <mergeCell ref="B123:J128"/>
    <mergeCell ref="B132:J132"/>
    <mergeCell ref="B134:J143"/>
    <mergeCell ref="B146:J148"/>
    <mergeCell ref="B150:J151"/>
    <mergeCell ref="B155:J155"/>
    <mergeCell ref="B157:J160"/>
    <mergeCell ref="B162:J162"/>
    <mergeCell ref="B167:J167"/>
    <mergeCell ref="B179:J17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3:J328"/>
    <mergeCell ref="B279:J279"/>
    <mergeCell ref="B281:J281"/>
    <mergeCell ref="B283:J283"/>
    <mergeCell ref="B185:J185"/>
    <mergeCell ref="B294:J309"/>
    <mergeCell ref="B192:J192"/>
    <mergeCell ref="B196:J196"/>
    <mergeCell ref="B205:J205"/>
    <mergeCell ref="B211:J211"/>
    <mergeCell ref="B274:J274"/>
    <mergeCell ref="B232:J233"/>
    <mergeCell ref="B235:J237"/>
    <mergeCell ref="B251:J251"/>
    <mergeCell ref="B260:J260"/>
    <mergeCell ref="B267:J267"/>
    <mergeCell ref="V157:V158"/>
    <mergeCell ref="U224:U225"/>
    <mergeCell ref="U38:U40"/>
    <mergeCell ref="V38:V40"/>
    <mergeCell ref="U105:U106"/>
    <mergeCell ref="V105:V106"/>
  </mergeCells>
  <phoneticPr fontId="15" type="noConversion"/>
  <pageMargins left="0.7" right="0.7" top="0.75" bottom="0.75" header="0.3" footer="0.3"/>
  <pageSetup scale="3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Proy Plan Adqu ICFE 2020 Ang</vt:lpstr>
      <vt:lpstr>Hoja1</vt:lpstr>
      <vt:lpstr>Plan Adqu ICFE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Angie Dayana Hernandez Lobaton</cp:lastModifiedBy>
  <cp:lastPrinted>2019-03-20T22:20:19Z</cp:lastPrinted>
  <dcterms:created xsi:type="dcterms:W3CDTF">2019-03-14T16:36:22Z</dcterms:created>
  <dcterms:modified xsi:type="dcterms:W3CDTF">2022-08-19T19:25:02Z</dcterms:modified>
</cp:coreProperties>
</file>